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pivotTables/pivotTable1.xml" ContentType="application/vnd.openxmlformats-officedocument.spreadsheetml.pivotTable+xml"/>
  <Override PartName="/xl/comments3.xml" ContentType="application/vnd.openxmlformats-officedocument.spreadsheetml.comments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fldoea-my.sharepoint.com/personal/tindallne_elderaffairs_org/Documents/Notices/Jeff Johnson/"/>
    </mc:Choice>
  </mc:AlternateContent>
  <bookViews>
    <workbookView xWindow="0" yWindow="0" windowWidth="25200" windowHeight="11685" tabRatio="842"/>
  </bookViews>
  <sheets>
    <sheet name="Summary by AAA" sheetId="27" r:id="rId1"/>
    <sheet name="2016 Award #2" sheetId="8" r:id="rId2"/>
    <sheet name="2016 Svcs &amp; Admin Allocation" sheetId="1" r:id="rId3"/>
    <sheet name="2016 Title III-D Allocation" sheetId="28" r:id="rId4"/>
    <sheet name="2016 Admin Formula " sheetId="26" r:id="rId5"/>
    <sheet name="Pivot - Demographics" sheetId="6" r:id="rId6"/>
    <sheet name="Demographics" sheetId="4" r:id="rId7"/>
    <sheet name="Pivot - IIID" sheetId="29" r:id="rId8"/>
    <sheet name="FPL &amp; MU" sheetId="30" r:id="rId9"/>
    <sheet name="2003 Admin" sheetId="20" r:id="rId10"/>
    <sheet name="2003 Base Factors" sheetId="19" r:id="rId11"/>
    <sheet name="2003 Demographics" sheetId="17" r:id="rId12"/>
  </sheets>
  <externalReferences>
    <externalReference r:id="rId13"/>
  </externalReferences>
  <definedNames>
    <definedName name="_xlnm._FilterDatabase" localSheetId="11" hidden="1">'2003 Demographics'!$A$1:$F$68</definedName>
    <definedName name="Excel_BuiltIn_Print_Area" localSheetId="4">#REF!</definedName>
    <definedName name="Excel_BuiltIn_Print_Area" localSheetId="1">#REF!</definedName>
    <definedName name="Excel_BuiltIn_Print_Area" localSheetId="6">#REF!</definedName>
    <definedName name="Excel_BuiltIn_Print_Area">#REF!</definedName>
    <definedName name="_xlnm.Print_Area" localSheetId="4">'2016 Admin Formula '!$A$1:$M$27</definedName>
    <definedName name="_xlnm.Print_Area" localSheetId="1">'2016 Award #2'!$A$1:$I$46</definedName>
    <definedName name="_xlnm.Print_Area" localSheetId="3">'2016 Title III-D Allocation'!$A$1:$BD$26</definedName>
    <definedName name="_xlnm.Print_Area">#REF!</definedName>
    <definedName name="_xlnm.Print_Titles" localSheetId="6">Demographics!$3:$3</definedName>
  </definedNames>
  <calcPr calcId="162913"/>
  <pivotCaches>
    <pivotCache cacheId="3" r:id="rId14"/>
    <pivotCache cacheId="4" r:id="rId15"/>
    <pivotCache cacheId="5" r:id="rId16"/>
  </pivotCaches>
</workbook>
</file>

<file path=xl/calcChain.xml><?xml version="1.0" encoding="utf-8"?>
<calcChain xmlns="http://schemas.openxmlformats.org/spreadsheetml/2006/main">
  <c r="A3" i="28" l="1"/>
  <c r="C72" i="30"/>
  <c r="BD24" i="28"/>
  <c r="BC24" i="28"/>
  <c r="BB24" i="28"/>
  <c r="C24" i="28"/>
  <c r="AH24" i="28" s="1"/>
  <c r="BH23" i="28"/>
  <c r="BG23" i="28"/>
  <c r="BH19" i="28"/>
  <c r="BH24" i="28" s="1"/>
  <c r="BG19" i="28"/>
  <c r="BG24" i="28" s="1"/>
  <c r="BG25" i="28" s="1"/>
  <c r="B19" i="28"/>
  <c r="D18" i="28"/>
  <c r="C18" i="28"/>
  <c r="D17" i="28"/>
  <c r="C17" i="28"/>
  <c r="D16" i="28"/>
  <c r="C16" i="28"/>
  <c r="D15" i="28"/>
  <c r="C15" i="28"/>
  <c r="D14" i="28"/>
  <c r="C14" i="28"/>
  <c r="D13" i="28"/>
  <c r="C13" i="28"/>
  <c r="D12" i="28"/>
  <c r="C12" i="28"/>
  <c r="D11" i="28"/>
  <c r="C11" i="28"/>
  <c r="D10" i="28"/>
  <c r="C10" i="28"/>
  <c r="D9" i="28"/>
  <c r="C9" i="28"/>
  <c r="D8" i="28"/>
  <c r="C8" i="28"/>
  <c r="BH25" i="28" l="1"/>
  <c r="D19" i="28"/>
  <c r="D72" i="30"/>
  <c r="C19" i="28"/>
  <c r="AY24" i="28"/>
  <c r="AO24" i="28"/>
  <c r="AA24" i="28"/>
  <c r="M24" i="28"/>
  <c r="AV24" i="28"/>
  <c r="T24" i="28"/>
  <c r="A3" i="26"/>
  <c r="A3" i="1"/>
  <c r="I23" i="27" l="1"/>
  <c r="E23" i="27"/>
  <c r="M23" i="27" l="1"/>
  <c r="V23" i="27" l="1"/>
  <c r="S23" i="27"/>
  <c r="L23" i="27"/>
  <c r="H23" i="27"/>
  <c r="D23" i="27"/>
  <c r="P23" i="27" l="1"/>
  <c r="F72" i="4" l="1"/>
  <c r="E72" i="4"/>
  <c r="D72" i="4"/>
  <c r="C72" i="4"/>
  <c r="A1" i="27" l="1"/>
  <c r="L11" i="8" l="1"/>
  <c r="L10" i="8"/>
  <c r="K11" i="8"/>
  <c r="K10" i="8"/>
  <c r="L12" i="8" l="1"/>
  <c r="K12" i="8"/>
  <c r="S29" i="1"/>
  <c r="O29" i="1"/>
  <c r="K29" i="1"/>
  <c r="S8" i="1" l="1"/>
  <c r="O8" i="1"/>
  <c r="K8" i="1"/>
  <c r="G29" i="1" l="1"/>
  <c r="G8" i="1" l="1"/>
  <c r="C21" i="26" l="1"/>
  <c r="C20" i="26"/>
  <c r="C19" i="26"/>
  <c r="C18" i="26"/>
  <c r="C17" i="26"/>
  <c r="C16" i="26"/>
  <c r="C15" i="26"/>
  <c r="C14" i="26"/>
  <c r="C13" i="26"/>
  <c r="C12" i="26"/>
  <c r="C11" i="26"/>
  <c r="L25" i="26" l="1"/>
  <c r="G22" i="26"/>
  <c r="H21" i="26" s="1"/>
  <c r="E22" i="26"/>
  <c r="F17" i="26" s="1"/>
  <c r="C22" i="26"/>
  <c r="F13" i="26" l="1"/>
  <c r="F12" i="26"/>
  <c r="F16" i="26"/>
  <c r="F15" i="26"/>
  <c r="F14" i="26"/>
  <c r="F21" i="26"/>
  <c r="F20" i="26"/>
  <c r="F11" i="26"/>
  <c r="F19" i="26"/>
  <c r="F18" i="26"/>
  <c r="H17" i="26"/>
  <c r="H11" i="26"/>
  <c r="H15" i="26"/>
  <c r="H14" i="26"/>
  <c r="H16" i="26"/>
  <c r="H20" i="26"/>
  <c r="H18" i="26"/>
  <c r="H13" i="26"/>
  <c r="H12" i="26"/>
  <c r="H19" i="26"/>
  <c r="D14" i="26"/>
  <c r="D16" i="26"/>
  <c r="D18" i="26"/>
  <c r="D20" i="26"/>
  <c r="D12" i="26"/>
  <c r="D13" i="26"/>
  <c r="D15" i="26"/>
  <c r="D17" i="26"/>
  <c r="D19" i="26"/>
  <c r="D21" i="26"/>
  <c r="I21" i="26" s="1"/>
  <c r="D11" i="26"/>
  <c r="I14" i="26" l="1"/>
  <c r="I13" i="26"/>
  <c r="I12" i="26"/>
  <c r="I17" i="26"/>
  <c r="H22" i="26"/>
  <c r="I16" i="26"/>
  <c r="I18" i="26"/>
  <c r="F22" i="26"/>
  <c r="I20" i="26"/>
  <c r="I15" i="26"/>
  <c r="I19" i="26"/>
  <c r="I11" i="26"/>
  <c r="D22" i="26"/>
  <c r="I22" i="26" l="1"/>
  <c r="I20" i="8" l="1"/>
  <c r="H19" i="8"/>
  <c r="B19" i="8" s="1"/>
  <c r="B16" i="8" l="1"/>
  <c r="H12" i="8"/>
  <c r="H13" i="8" s="1"/>
  <c r="I12" i="8"/>
  <c r="I13" i="8" s="1"/>
  <c r="G12" i="8"/>
  <c r="G13" i="8" s="1"/>
  <c r="F12" i="8"/>
  <c r="F13" i="8" s="1"/>
  <c r="E12" i="8"/>
  <c r="E13" i="8" s="1"/>
  <c r="D12" i="8"/>
  <c r="D13" i="8" s="1"/>
  <c r="C12" i="8"/>
  <c r="C13" i="8" s="1"/>
  <c r="B10" i="8"/>
  <c r="D17" i="8" l="1"/>
  <c r="C17" i="8"/>
  <c r="E17" i="8"/>
  <c r="G17" i="8"/>
  <c r="F17" i="8"/>
  <c r="B12" i="8"/>
  <c r="B13" i="8" s="1"/>
  <c r="B17" i="8" l="1"/>
  <c r="G23" i="20"/>
  <c r="H21" i="20" s="1"/>
  <c r="E23" i="20"/>
  <c r="F16" i="20" s="1"/>
  <c r="C23" i="20"/>
  <c r="D13" i="20" s="1"/>
  <c r="B21" i="20"/>
  <c r="B20" i="20"/>
  <c r="B19" i="20"/>
  <c r="B18" i="20"/>
  <c r="B17" i="20"/>
  <c r="B16" i="20"/>
  <c r="H15" i="20"/>
  <c r="D15" i="20"/>
  <c r="B15" i="20"/>
  <c r="B14" i="20"/>
  <c r="B13" i="20"/>
  <c r="D12" i="20"/>
  <c r="F15" i="19"/>
  <c r="C22" i="1" s="1"/>
  <c r="F14" i="19"/>
  <c r="C21" i="1" s="1"/>
  <c r="F13" i="19"/>
  <c r="C20" i="1" s="1"/>
  <c r="F12" i="19"/>
  <c r="C19" i="1" s="1"/>
  <c r="F11" i="19"/>
  <c r="C18" i="1" s="1"/>
  <c r="F10" i="19"/>
  <c r="C17" i="1" s="1"/>
  <c r="F9" i="19"/>
  <c r="C16" i="1" s="1"/>
  <c r="F8" i="19"/>
  <c r="C15" i="1" s="1"/>
  <c r="F7" i="19"/>
  <c r="C14" i="1" s="1"/>
  <c r="F6" i="19"/>
  <c r="C13" i="1" s="1"/>
  <c r="F5" i="19"/>
  <c r="C12" i="1" s="1"/>
  <c r="C23" i="1" l="1"/>
  <c r="F12" i="20"/>
  <c r="B23" i="20"/>
  <c r="J26" i="20" s="1"/>
  <c r="H12" i="20"/>
  <c r="F17" i="20"/>
  <c r="F15" i="20"/>
  <c r="I15" i="20" s="1"/>
  <c r="H20" i="20"/>
  <c r="D18" i="20"/>
  <c r="D11" i="20"/>
  <c r="D14" i="20"/>
  <c r="D17" i="20"/>
  <c r="F20" i="20"/>
  <c r="F13" i="20"/>
  <c r="D16" i="20"/>
  <c r="D20" i="20"/>
  <c r="D19" i="20"/>
  <c r="F21" i="20"/>
  <c r="D21" i="20"/>
  <c r="H18" i="20"/>
  <c r="F18" i="20"/>
  <c r="H11" i="20"/>
  <c r="H14" i="20"/>
  <c r="F14" i="20"/>
  <c r="H19" i="20"/>
  <c r="H16" i="20"/>
  <c r="F19" i="20"/>
  <c r="H17" i="20"/>
  <c r="F11" i="20"/>
  <c r="H13" i="20"/>
  <c r="F16" i="19"/>
  <c r="I13" i="20" l="1"/>
  <c r="I12" i="20"/>
  <c r="J12" i="20" s="1"/>
  <c r="K12" i="20" s="1"/>
  <c r="I20" i="20"/>
  <c r="J20" i="20" s="1"/>
  <c r="K20" i="20" s="1"/>
  <c r="J15" i="20"/>
  <c r="K15" i="20" s="1"/>
  <c r="I16" i="20"/>
  <c r="J16" i="20" s="1"/>
  <c r="K16" i="20" s="1"/>
  <c r="J13" i="20"/>
  <c r="K13" i="20" s="1"/>
  <c r="D23" i="20"/>
  <c r="I17" i="20"/>
  <c r="J17" i="20" s="1"/>
  <c r="K17" i="20" s="1"/>
  <c r="I18" i="20"/>
  <c r="J18" i="20" s="1"/>
  <c r="K18" i="20" s="1"/>
  <c r="I19" i="20"/>
  <c r="J19" i="20" s="1"/>
  <c r="K19" i="20" s="1"/>
  <c r="H23" i="20"/>
  <c r="I21" i="20"/>
  <c r="J21" i="20" s="1"/>
  <c r="K21" i="20" s="1"/>
  <c r="F23" i="20"/>
  <c r="I11" i="20"/>
  <c r="J11" i="20" s="1"/>
  <c r="I14" i="20"/>
  <c r="J14" i="20" s="1"/>
  <c r="K14" i="20" s="1"/>
  <c r="I23" i="20" l="1"/>
  <c r="J23" i="20" l="1"/>
  <c r="K11" i="20"/>
  <c r="K23" i="20" l="1"/>
  <c r="L11" i="20" s="1"/>
  <c r="M11" i="20" s="1"/>
  <c r="L19" i="20" l="1"/>
  <c r="M19" i="20" s="1"/>
  <c r="L17" i="20"/>
  <c r="M17" i="20" s="1"/>
  <c r="L16" i="20"/>
  <c r="M16" i="20" s="1"/>
  <c r="L15" i="20"/>
  <c r="M15" i="20" s="1"/>
  <c r="L20" i="20"/>
  <c r="M20" i="20" s="1"/>
  <c r="L18" i="20"/>
  <c r="M18" i="20" s="1"/>
  <c r="L13" i="20"/>
  <c r="M13" i="20" s="1"/>
  <c r="L21" i="20"/>
  <c r="M21" i="20" s="1"/>
  <c r="L12" i="20"/>
  <c r="M12" i="20" s="1"/>
  <c r="L14" i="20"/>
  <c r="M14" i="20" s="1"/>
  <c r="M23" i="20" l="1"/>
  <c r="L23" i="20"/>
  <c r="A1" i="1" l="1"/>
  <c r="A1" i="26" s="1"/>
  <c r="F26" i="8" l="1"/>
  <c r="Q22" i="1" l="1"/>
  <c r="Q23" i="1"/>
  <c r="G22" i="8" l="1"/>
  <c r="G23" i="8" s="1"/>
  <c r="F22" i="8"/>
  <c r="E22" i="8"/>
  <c r="E23" i="8" s="1"/>
  <c r="D22" i="8"/>
  <c r="D23" i="8" s="1"/>
  <c r="C22" i="8" l="1"/>
  <c r="C23" i="8" l="1"/>
  <c r="B23" i="8" s="1"/>
  <c r="I44" i="8"/>
  <c r="B20" i="8"/>
  <c r="B11" i="8"/>
  <c r="F15" i="6"/>
  <c r="D22" i="1" s="1"/>
  <c r="S22" i="1" s="1"/>
  <c r="F14" i="6"/>
  <c r="D21" i="1" s="1"/>
  <c r="S21" i="1" s="1"/>
  <c r="F13" i="6"/>
  <c r="D20" i="1" s="1"/>
  <c r="S20" i="1" s="1"/>
  <c r="F12" i="6"/>
  <c r="D19" i="1" s="1"/>
  <c r="S19" i="1" s="1"/>
  <c r="F11" i="6"/>
  <c r="D18" i="1" s="1"/>
  <c r="S18" i="1" s="1"/>
  <c r="F10" i="6"/>
  <c r="D17" i="1" s="1"/>
  <c r="S17" i="1" s="1"/>
  <c r="F9" i="6"/>
  <c r="D16" i="1" s="1"/>
  <c r="S16" i="1" s="1"/>
  <c r="F8" i="6"/>
  <c r="D15" i="1" s="1"/>
  <c r="S15" i="1" s="1"/>
  <c r="F7" i="6"/>
  <c r="D14" i="1" s="1"/>
  <c r="S14" i="1" s="1"/>
  <c r="F6" i="6"/>
  <c r="D13" i="1" s="1"/>
  <c r="S13" i="1" s="1"/>
  <c r="F5" i="6"/>
  <c r="D12" i="1" s="1"/>
  <c r="E23" i="1"/>
  <c r="M22" i="1"/>
  <c r="M23" i="1" s="1"/>
  <c r="N28" i="1" s="1"/>
  <c r="I22" i="1"/>
  <c r="S12" i="1" l="1"/>
  <c r="S23" i="1" s="1"/>
  <c r="S30" i="1" s="1"/>
  <c r="S31" i="1" s="1"/>
  <c r="E26" i="8"/>
  <c r="G13" i="1"/>
  <c r="K13" i="1"/>
  <c r="O13" i="1"/>
  <c r="G19" i="1"/>
  <c r="K19" i="1"/>
  <c r="O19" i="1"/>
  <c r="G18" i="1"/>
  <c r="K18" i="1"/>
  <c r="O18" i="1"/>
  <c r="G17" i="1"/>
  <c r="K17" i="1"/>
  <c r="O17" i="1"/>
  <c r="G14" i="1"/>
  <c r="O14" i="1"/>
  <c r="K14" i="1"/>
  <c r="G16" i="1"/>
  <c r="O16" i="1"/>
  <c r="K16" i="1"/>
  <c r="G15" i="1"/>
  <c r="O15" i="1"/>
  <c r="K15" i="1"/>
  <c r="G22" i="1"/>
  <c r="K22" i="1"/>
  <c r="O22" i="1"/>
  <c r="G21" i="1"/>
  <c r="K21" i="1"/>
  <c r="O21" i="1"/>
  <c r="G12" i="1"/>
  <c r="O12" i="1"/>
  <c r="K12" i="1"/>
  <c r="G20" i="1"/>
  <c r="K20" i="1"/>
  <c r="O20" i="1"/>
  <c r="I45" i="8"/>
  <c r="I46" i="8" s="1"/>
  <c r="G24" i="8"/>
  <c r="R27" i="1" s="1"/>
  <c r="F24" i="8"/>
  <c r="C23" i="28" s="1"/>
  <c r="E24" i="8"/>
  <c r="N27" i="1" s="1"/>
  <c r="B22" i="8"/>
  <c r="D23" i="1"/>
  <c r="F28" i="1"/>
  <c r="F16" i="6"/>
  <c r="I23" i="1"/>
  <c r="J28" i="1" s="1"/>
  <c r="R28" i="1"/>
  <c r="G24" i="28" l="1"/>
  <c r="E24" i="28"/>
  <c r="C25" i="28"/>
  <c r="E16" i="28"/>
  <c r="E11" i="28"/>
  <c r="E18" i="28"/>
  <c r="E8" i="28"/>
  <c r="E14" i="28"/>
  <c r="E17" i="28"/>
  <c r="E15" i="28"/>
  <c r="E10" i="28"/>
  <c r="E13" i="28"/>
  <c r="E12" i="28"/>
  <c r="E9" i="28"/>
  <c r="C26" i="8"/>
  <c r="D26" i="8"/>
  <c r="J25" i="26"/>
  <c r="K25" i="26" s="1"/>
  <c r="M25" i="26" s="1"/>
  <c r="G23" i="1"/>
  <c r="G30" i="1" s="1"/>
  <c r="G31" i="1" s="1"/>
  <c r="O23" i="1"/>
  <c r="O30" i="1" s="1"/>
  <c r="O31" i="1" s="1"/>
  <c r="K23" i="1"/>
  <c r="K30" i="1" s="1"/>
  <c r="K31" i="1" s="1"/>
  <c r="N29" i="1"/>
  <c r="N8" i="1" s="1"/>
  <c r="N12" i="1" s="1"/>
  <c r="E28" i="8"/>
  <c r="F28" i="8"/>
  <c r="R29" i="1"/>
  <c r="R8" i="1" s="1"/>
  <c r="R12" i="1" s="1"/>
  <c r="G28" i="8"/>
  <c r="G26" i="8"/>
  <c r="C24" i="8"/>
  <c r="F27" i="1" s="1"/>
  <c r="D24" i="8"/>
  <c r="J27" i="1" s="1"/>
  <c r="B24" i="8"/>
  <c r="I13" i="28" l="1"/>
  <c r="J13" i="28" s="1"/>
  <c r="K13" i="28"/>
  <c r="F13" i="28"/>
  <c r="I14" i="28"/>
  <c r="J14" i="28" s="1"/>
  <c r="F14" i="28"/>
  <c r="K14" i="28"/>
  <c r="L14" i="28" s="1"/>
  <c r="F16" i="28"/>
  <c r="K16" i="28"/>
  <c r="I16" i="28"/>
  <c r="J16" i="28" s="1"/>
  <c r="K10" i="28"/>
  <c r="L10" i="28" s="1"/>
  <c r="F10" i="28"/>
  <c r="I10" i="28"/>
  <c r="J10" i="28" s="1"/>
  <c r="F8" i="28"/>
  <c r="K8" i="28"/>
  <c r="I8" i="28"/>
  <c r="J8" i="28" s="1"/>
  <c r="E19" i="28"/>
  <c r="E23" i="28" s="1"/>
  <c r="E25" i="28" s="1"/>
  <c r="I9" i="28"/>
  <c r="J9" i="28" s="1"/>
  <c r="K9" i="28"/>
  <c r="L9" i="28" s="1"/>
  <c r="F9" i="28"/>
  <c r="F15" i="28"/>
  <c r="I15" i="28"/>
  <c r="J15" i="28" s="1"/>
  <c r="K15" i="28"/>
  <c r="F18" i="28"/>
  <c r="I18" i="28"/>
  <c r="J18" i="28" s="1"/>
  <c r="K18" i="28"/>
  <c r="K12" i="28"/>
  <c r="L12" i="28" s="1"/>
  <c r="F12" i="28"/>
  <c r="I12" i="28"/>
  <c r="J12" i="28" s="1"/>
  <c r="M12" i="28" s="1"/>
  <c r="K17" i="28"/>
  <c r="L17" i="28" s="1"/>
  <c r="I17" i="28"/>
  <c r="J17" i="28" s="1"/>
  <c r="M17" i="28" s="1"/>
  <c r="F17" i="28"/>
  <c r="I11" i="28"/>
  <c r="J11" i="28" s="1"/>
  <c r="K11" i="28"/>
  <c r="F11" i="28"/>
  <c r="B26" i="8"/>
  <c r="N18" i="1"/>
  <c r="P18" i="1" s="1"/>
  <c r="K18" i="27" s="1"/>
  <c r="N18" i="27" s="1"/>
  <c r="N19" i="1"/>
  <c r="N21" i="1"/>
  <c r="P21" i="1" s="1"/>
  <c r="K21" i="27" s="1"/>
  <c r="N21" i="27" s="1"/>
  <c r="N16" i="1"/>
  <c r="P16" i="1" s="1"/>
  <c r="K16" i="27" s="1"/>
  <c r="N16" i="27" s="1"/>
  <c r="N14" i="1"/>
  <c r="P14" i="1" s="1"/>
  <c r="K14" i="27" s="1"/>
  <c r="N14" i="27" s="1"/>
  <c r="N13" i="1"/>
  <c r="P13" i="1" s="1"/>
  <c r="K13" i="27" s="1"/>
  <c r="N13" i="27" s="1"/>
  <c r="N20" i="1"/>
  <c r="P20" i="1" s="1"/>
  <c r="K20" i="27" s="1"/>
  <c r="N20" i="27" s="1"/>
  <c r="P12" i="1"/>
  <c r="K12" i="27" s="1"/>
  <c r="N12" i="27" s="1"/>
  <c r="N17" i="1"/>
  <c r="P17" i="1" s="1"/>
  <c r="K17" i="27" s="1"/>
  <c r="N17" i="27" s="1"/>
  <c r="N15" i="1"/>
  <c r="P15" i="1" s="1"/>
  <c r="K15" i="27" s="1"/>
  <c r="N15" i="27" s="1"/>
  <c r="N22" i="1"/>
  <c r="P22" i="1" s="1"/>
  <c r="K22" i="27" s="1"/>
  <c r="N22" i="27" s="1"/>
  <c r="R17" i="1"/>
  <c r="T17" i="1" s="1"/>
  <c r="R17" i="27" s="1"/>
  <c r="T17" i="27" s="1"/>
  <c r="R18" i="1"/>
  <c r="T18" i="1" s="1"/>
  <c r="R18" i="27" s="1"/>
  <c r="T18" i="27" s="1"/>
  <c r="R19" i="1"/>
  <c r="T19" i="1" s="1"/>
  <c r="R19" i="27" s="1"/>
  <c r="T19" i="27" s="1"/>
  <c r="R20" i="1"/>
  <c r="T20" i="1" s="1"/>
  <c r="R20" i="27" s="1"/>
  <c r="T20" i="27" s="1"/>
  <c r="R21" i="1"/>
  <c r="T21" i="1" s="1"/>
  <c r="R21" i="27" s="1"/>
  <c r="T21" i="27" s="1"/>
  <c r="R13" i="1"/>
  <c r="T13" i="1" s="1"/>
  <c r="R13" i="27" s="1"/>
  <c r="T13" i="27" s="1"/>
  <c r="R14" i="1"/>
  <c r="T14" i="1" s="1"/>
  <c r="R14" i="27" s="1"/>
  <c r="T14" i="27" s="1"/>
  <c r="R22" i="1"/>
  <c r="T22" i="1" s="1"/>
  <c r="R22" i="27" s="1"/>
  <c r="T22" i="27" s="1"/>
  <c r="T12" i="1"/>
  <c r="R12" i="27" s="1"/>
  <c r="T12" i="27" s="1"/>
  <c r="R15" i="1"/>
  <c r="T15" i="1" s="1"/>
  <c r="R15" i="27" s="1"/>
  <c r="T15" i="27" s="1"/>
  <c r="R16" i="1"/>
  <c r="T16" i="1" s="1"/>
  <c r="R16" i="27" s="1"/>
  <c r="T16" i="27" s="1"/>
  <c r="C28" i="8"/>
  <c r="J29" i="1"/>
  <c r="J8" i="1" s="1"/>
  <c r="D28" i="8"/>
  <c r="F29" i="1"/>
  <c r="F8" i="1" s="1"/>
  <c r="F12" i="1" s="1"/>
  <c r="N12" i="28" l="1"/>
  <c r="O12" i="28"/>
  <c r="P12" i="28" s="1"/>
  <c r="R12" i="28" s="1"/>
  <c r="S12" i="28" s="1"/>
  <c r="M10" i="28"/>
  <c r="M14" i="28"/>
  <c r="G18" i="28"/>
  <c r="J19" i="28"/>
  <c r="G16" i="28"/>
  <c r="N17" i="28"/>
  <c r="O17" i="28"/>
  <c r="P17" i="28" s="1"/>
  <c r="R17" i="28" s="1"/>
  <c r="S17" i="28" s="1"/>
  <c r="L8" i="28"/>
  <c r="K19" i="28"/>
  <c r="L15" i="28" s="1"/>
  <c r="M15" i="28" s="1"/>
  <c r="M9" i="28"/>
  <c r="F19" i="28"/>
  <c r="G8" i="28" s="1"/>
  <c r="J12" i="1"/>
  <c r="L12" i="1" s="1"/>
  <c r="G12" i="27" s="1"/>
  <c r="J12" i="27" s="1"/>
  <c r="T23" i="27"/>
  <c r="R23" i="27"/>
  <c r="J16" i="1"/>
  <c r="L16" i="1" s="1"/>
  <c r="G16" i="27" s="1"/>
  <c r="J16" i="27" s="1"/>
  <c r="J18" i="1"/>
  <c r="L18" i="1" s="1"/>
  <c r="G18" i="27" s="1"/>
  <c r="J18" i="27" s="1"/>
  <c r="J19" i="1"/>
  <c r="L19" i="1" s="1"/>
  <c r="G19" i="27" s="1"/>
  <c r="J19" i="27" s="1"/>
  <c r="J14" i="1"/>
  <c r="L14" i="1" s="1"/>
  <c r="G14" i="27" s="1"/>
  <c r="J14" i="27" s="1"/>
  <c r="J21" i="1"/>
  <c r="L21" i="1" s="1"/>
  <c r="G21" i="27" s="1"/>
  <c r="J21" i="27" s="1"/>
  <c r="J22" i="1"/>
  <c r="L22" i="1" s="1"/>
  <c r="G22" i="27" s="1"/>
  <c r="J22" i="27" s="1"/>
  <c r="J17" i="1"/>
  <c r="L17" i="1" s="1"/>
  <c r="G17" i="27" s="1"/>
  <c r="J17" i="27" s="1"/>
  <c r="J13" i="1"/>
  <c r="L13" i="1" s="1"/>
  <c r="G13" i="27" s="1"/>
  <c r="J13" i="27" s="1"/>
  <c r="J15" i="1"/>
  <c r="L15" i="1" s="1"/>
  <c r="G15" i="27" s="1"/>
  <c r="J15" i="27" s="1"/>
  <c r="J20" i="1"/>
  <c r="L20" i="1" s="1"/>
  <c r="G20" i="27" s="1"/>
  <c r="J20" i="27" s="1"/>
  <c r="F20" i="1"/>
  <c r="H20" i="1" s="1"/>
  <c r="C20" i="27" s="1"/>
  <c r="F20" i="27" s="1"/>
  <c r="F21" i="1"/>
  <c r="H21" i="1" s="1"/>
  <c r="C21" i="27" s="1"/>
  <c r="F21" i="27" s="1"/>
  <c r="F13" i="1"/>
  <c r="H13" i="1" s="1"/>
  <c r="C13" i="27" s="1"/>
  <c r="F13" i="27" s="1"/>
  <c r="F22" i="1"/>
  <c r="H22" i="1" s="1"/>
  <c r="C22" i="27" s="1"/>
  <c r="F22" i="27" s="1"/>
  <c r="F14" i="1"/>
  <c r="H12" i="1"/>
  <c r="C12" i="27" s="1"/>
  <c r="F12" i="27" s="1"/>
  <c r="F15" i="1"/>
  <c r="H15" i="1" s="1"/>
  <c r="C15" i="27" s="1"/>
  <c r="F15" i="27" s="1"/>
  <c r="F17" i="1"/>
  <c r="H17" i="1" s="1"/>
  <c r="C17" i="27" s="1"/>
  <c r="F17" i="27" s="1"/>
  <c r="F16" i="1"/>
  <c r="H16" i="1" s="1"/>
  <c r="C16" i="27" s="1"/>
  <c r="F16" i="27" s="1"/>
  <c r="F18" i="1"/>
  <c r="F19" i="1"/>
  <c r="H19" i="1" s="1"/>
  <c r="C19" i="27" s="1"/>
  <c r="B28" i="8"/>
  <c r="N23" i="1"/>
  <c r="N30" i="1" s="1"/>
  <c r="N31" i="1" s="1"/>
  <c r="P19" i="1"/>
  <c r="K19" i="27" s="1"/>
  <c r="R23" i="1"/>
  <c r="R30" i="1" s="1"/>
  <c r="R31" i="1" s="1"/>
  <c r="T23" i="1"/>
  <c r="N15" i="28" l="1"/>
  <c r="O15" i="28"/>
  <c r="P15" i="28" s="1"/>
  <c r="R15" i="28" s="1"/>
  <c r="O12" i="27"/>
  <c r="BB8" i="28"/>
  <c r="H8" i="28"/>
  <c r="BC8" i="28"/>
  <c r="BC19" i="28" s="1"/>
  <c r="BC23" i="28" s="1"/>
  <c r="BC25" i="28" s="1"/>
  <c r="L13" i="28"/>
  <c r="M13" i="28" s="1"/>
  <c r="Q17" i="28"/>
  <c r="T17" i="28" s="1"/>
  <c r="G13" i="28"/>
  <c r="G9" i="28"/>
  <c r="O14" i="28"/>
  <c r="P14" i="28" s="1"/>
  <c r="R14" i="28" s="1"/>
  <c r="S14" i="28" s="1"/>
  <c r="N14" i="28"/>
  <c r="Q14" i="28"/>
  <c r="T14" i="28" s="1"/>
  <c r="Q12" i="28"/>
  <c r="T12" i="28" s="1"/>
  <c r="N9" i="28"/>
  <c r="O9" i="28"/>
  <c r="P9" i="28" s="1"/>
  <c r="R9" i="28" s="1"/>
  <c r="S9" i="28" s="1"/>
  <c r="Q9" i="28"/>
  <c r="T9" i="28" s="1"/>
  <c r="O20" i="27"/>
  <c r="BC16" i="28"/>
  <c r="H16" i="28"/>
  <c r="BB16" i="28"/>
  <c r="BD16" i="28" s="1"/>
  <c r="BF16" i="28" s="1"/>
  <c r="O22" i="27"/>
  <c r="BB18" i="28"/>
  <c r="H18" i="28"/>
  <c r="BC18" i="28"/>
  <c r="L16" i="28"/>
  <c r="M16" i="28" s="1"/>
  <c r="L18" i="28"/>
  <c r="M18" i="28" s="1"/>
  <c r="M8" i="28"/>
  <c r="L19" i="28"/>
  <c r="G10" i="28"/>
  <c r="G12" i="28"/>
  <c r="N10" i="28"/>
  <c r="O10" i="28"/>
  <c r="P10" i="28" s="1"/>
  <c r="R10" i="28" s="1"/>
  <c r="S10" i="28" s="1"/>
  <c r="G14" i="28"/>
  <c r="L11" i="28"/>
  <c r="M11" i="28" s="1"/>
  <c r="G11" i="28"/>
  <c r="G17" i="28"/>
  <c r="G15" i="28"/>
  <c r="N19" i="27"/>
  <c r="N23" i="27" s="1"/>
  <c r="F19" i="27"/>
  <c r="J23" i="27"/>
  <c r="K23" i="27"/>
  <c r="G23" i="27"/>
  <c r="P23" i="1"/>
  <c r="X12" i="1"/>
  <c r="X17" i="1"/>
  <c r="L23" i="1"/>
  <c r="J23" i="1"/>
  <c r="J30" i="1" s="1"/>
  <c r="J31" i="1" s="1"/>
  <c r="X13" i="1"/>
  <c r="X19" i="1"/>
  <c r="X22" i="1"/>
  <c r="X15" i="1"/>
  <c r="X16" i="1"/>
  <c r="X20" i="1"/>
  <c r="X21" i="1"/>
  <c r="H18" i="1"/>
  <c r="C18" i="27" s="1"/>
  <c r="F18" i="27" s="1"/>
  <c r="H14" i="1"/>
  <c r="C14" i="27" s="1"/>
  <c r="F14" i="27" s="1"/>
  <c r="F23" i="1"/>
  <c r="F30" i="1" s="1"/>
  <c r="F31" i="1" s="1"/>
  <c r="O15" i="27" l="1"/>
  <c r="BC11" i="28"/>
  <c r="BB11" i="28"/>
  <c r="BD11" i="28" s="1"/>
  <c r="BF11" i="28" s="1"/>
  <c r="H11" i="28"/>
  <c r="U9" i="28"/>
  <c r="V9" i="28"/>
  <c r="W9" i="28" s="1"/>
  <c r="Y9" i="28" s="1"/>
  <c r="Z9" i="28" s="1"/>
  <c r="X9" i="28"/>
  <c r="AA9" i="28" s="1"/>
  <c r="U14" i="28"/>
  <c r="V14" i="28"/>
  <c r="W14" i="28" s="1"/>
  <c r="Y14" i="28" s="1"/>
  <c r="Z14" i="28" s="1"/>
  <c r="X14" i="28"/>
  <c r="AA14" i="28" s="1"/>
  <c r="O17" i="27"/>
  <c r="BB13" i="28"/>
  <c r="H13" i="28"/>
  <c r="BC13" i="28"/>
  <c r="O11" i="28"/>
  <c r="P11" i="28" s="1"/>
  <c r="R11" i="28" s="1"/>
  <c r="S11" i="28" s="1"/>
  <c r="N11" i="28"/>
  <c r="O8" i="28"/>
  <c r="N8" i="28"/>
  <c r="M19" i="28"/>
  <c r="M23" i="28" s="1"/>
  <c r="M25" i="28" s="1"/>
  <c r="V17" i="28"/>
  <c r="W17" i="28" s="1"/>
  <c r="Y17" i="28" s="1"/>
  <c r="Z17" i="28" s="1"/>
  <c r="U17" i="28"/>
  <c r="Q15" i="28"/>
  <c r="O19" i="27"/>
  <c r="BC15" i="28"/>
  <c r="BB15" i="28"/>
  <c r="BD15" i="28" s="1"/>
  <c r="BF15" i="28" s="1"/>
  <c r="H15" i="28"/>
  <c r="O18" i="27"/>
  <c r="H14" i="28"/>
  <c r="BC14" i="28"/>
  <c r="BB14" i="28"/>
  <c r="BD14" i="28" s="1"/>
  <c r="BF14" i="28" s="1"/>
  <c r="O16" i="27"/>
  <c r="BC12" i="28"/>
  <c r="H12" i="28"/>
  <c r="BB12" i="28"/>
  <c r="BD12" i="28" s="1"/>
  <c r="BF12" i="28" s="1"/>
  <c r="O18" i="28"/>
  <c r="P18" i="28" s="1"/>
  <c r="R18" i="28" s="1"/>
  <c r="S18" i="28" s="1"/>
  <c r="N18" i="28"/>
  <c r="Q18" i="28"/>
  <c r="T18" i="28" s="1"/>
  <c r="BD18" i="28"/>
  <c r="BF18" i="28" s="1"/>
  <c r="O13" i="28"/>
  <c r="P13" i="28" s="1"/>
  <c r="R13" i="28" s="1"/>
  <c r="N13" i="28"/>
  <c r="Q13" i="28"/>
  <c r="BB19" i="28"/>
  <c r="BB23" i="28" s="1"/>
  <c r="BB25" i="28" s="1"/>
  <c r="BD8" i="28"/>
  <c r="O21" i="27"/>
  <c r="H17" i="28"/>
  <c r="BB17" i="28"/>
  <c r="BD17" i="28" s="1"/>
  <c r="BF17" i="28" s="1"/>
  <c r="BC17" i="28"/>
  <c r="Q10" i="28"/>
  <c r="T10" i="28" s="1"/>
  <c r="O14" i="27"/>
  <c r="BB10" i="28"/>
  <c r="H10" i="28"/>
  <c r="BC10" i="28"/>
  <c r="O16" i="28"/>
  <c r="P16" i="28" s="1"/>
  <c r="R16" i="28" s="1"/>
  <c r="N16" i="28"/>
  <c r="V12" i="28"/>
  <c r="W12" i="28" s="1"/>
  <c r="Y12" i="28" s="1"/>
  <c r="Z12" i="28" s="1"/>
  <c r="U12" i="28"/>
  <c r="O13" i="27"/>
  <c r="BC9" i="28"/>
  <c r="H9" i="28"/>
  <c r="H19" i="28" s="1"/>
  <c r="BB9" i="28"/>
  <c r="G19" i="28"/>
  <c r="Q18" i="27"/>
  <c r="Y18" i="27" s="1"/>
  <c r="Q13" i="27"/>
  <c r="Y13" i="27" s="1"/>
  <c r="Q19" i="27"/>
  <c r="Y19" i="27" s="1"/>
  <c r="Q17" i="27"/>
  <c r="Y17" i="27" s="1"/>
  <c r="Q22" i="27"/>
  <c r="Y22" i="27" s="1"/>
  <c r="Q14" i="27"/>
  <c r="Y14" i="27" s="1"/>
  <c r="Q21" i="27"/>
  <c r="Y21" i="27" s="1"/>
  <c r="Q16" i="27"/>
  <c r="Y16" i="27" s="1"/>
  <c r="Q20" i="27"/>
  <c r="Y20" i="27" s="1"/>
  <c r="Q15" i="27"/>
  <c r="Y15" i="27" s="1"/>
  <c r="Q12" i="27"/>
  <c r="F23" i="27"/>
  <c r="B20" i="26"/>
  <c r="B21" i="26"/>
  <c r="B19" i="26"/>
  <c r="B14" i="26"/>
  <c r="B12" i="26"/>
  <c r="C23" i="27"/>
  <c r="B11" i="26"/>
  <c r="B15" i="26"/>
  <c r="B16" i="26"/>
  <c r="B18" i="26"/>
  <c r="X18" i="1"/>
  <c r="X14" i="1"/>
  <c r="H23" i="1"/>
  <c r="BD9" i="28" l="1"/>
  <c r="BF9" i="28" s="1"/>
  <c r="X12" i="28"/>
  <c r="AA12" i="28" s="1"/>
  <c r="BD10" i="28"/>
  <c r="BF10" i="28" s="1"/>
  <c r="BD19" i="28"/>
  <c r="BD23" i="28" s="1"/>
  <c r="BD25" i="28" s="1"/>
  <c r="BF8" i="28"/>
  <c r="X17" i="28"/>
  <c r="AA17" i="28" s="1"/>
  <c r="N19" i="28"/>
  <c r="BD13" i="28"/>
  <c r="BF13" i="28" s="1"/>
  <c r="AC9" i="28"/>
  <c r="AD9" i="28" s="1"/>
  <c r="AF9" i="28" s="1"/>
  <c r="AG9" i="28" s="1"/>
  <c r="AB9" i="28"/>
  <c r="U10" i="28"/>
  <c r="V10" i="28"/>
  <c r="W10" i="28" s="1"/>
  <c r="Y10" i="28" s="1"/>
  <c r="Z10" i="28" s="1"/>
  <c r="U18" i="28"/>
  <c r="V18" i="28"/>
  <c r="W18" i="28" s="1"/>
  <c r="Y18" i="28" s="1"/>
  <c r="Z18" i="28" s="1"/>
  <c r="X18" i="28"/>
  <c r="AA18" i="28" s="1"/>
  <c r="P8" i="28"/>
  <c r="O19" i="28"/>
  <c r="AC14" i="28"/>
  <c r="AD14" i="28" s="1"/>
  <c r="AF14" i="28" s="1"/>
  <c r="AG14" i="28" s="1"/>
  <c r="AB14" i="28"/>
  <c r="G23" i="28"/>
  <c r="G25" i="28" s="1"/>
  <c r="BF19" i="28"/>
  <c r="Q16" i="28"/>
  <c r="Q11" i="28"/>
  <c r="T11" i="28" s="1"/>
  <c r="Q23" i="27"/>
  <c r="Y12" i="27"/>
  <c r="Y23" i="27" s="1"/>
  <c r="O23" i="27"/>
  <c r="B13" i="26"/>
  <c r="B17" i="26"/>
  <c r="X23" i="1"/>
  <c r="U11" i="28" l="1"/>
  <c r="V11" i="28"/>
  <c r="W11" i="28" s="1"/>
  <c r="Y11" i="28" s="1"/>
  <c r="Z11" i="28" s="1"/>
  <c r="AC17" i="28"/>
  <c r="AD17" i="28" s="1"/>
  <c r="AF17" i="28" s="1"/>
  <c r="AG17" i="28" s="1"/>
  <c r="AB17" i="28"/>
  <c r="AE17" i="28"/>
  <c r="AH17" i="28" s="1"/>
  <c r="AE9" i="28"/>
  <c r="AH9" i="28" s="1"/>
  <c r="AB12" i="28"/>
  <c r="AC12" i="28"/>
  <c r="AD12" i="28" s="1"/>
  <c r="AF12" i="28" s="1"/>
  <c r="AG12" i="28" s="1"/>
  <c r="AE14" i="28"/>
  <c r="AH14" i="28" s="1"/>
  <c r="R8" i="28"/>
  <c r="Q8" i="28"/>
  <c r="Q19" i="28" s="1"/>
  <c r="X10" i="28"/>
  <c r="AA10" i="28" s="1"/>
  <c r="AC18" i="28"/>
  <c r="AD18" i="28" s="1"/>
  <c r="AF18" i="28" s="1"/>
  <c r="AG18" i="28" s="1"/>
  <c r="AB18" i="28"/>
  <c r="AE18" i="28"/>
  <c r="B22" i="26"/>
  <c r="J26" i="26" s="1"/>
  <c r="J27" i="26" s="1"/>
  <c r="J7" i="26" s="1"/>
  <c r="AI14" i="28" l="1"/>
  <c r="AJ14" i="28"/>
  <c r="AK14" i="28" s="1"/>
  <c r="AM14" i="28" s="1"/>
  <c r="AN14" i="28" s="1"/>
  <c r="AL9" i="28"/>
  <c r="AO9" i="28" s="1"/>
  <c r="AJ9" i="28"/>
  <c r="AK9" i="28" s="1"/>
  <c r="AM9" i="28" s="1"/>
  <c r="AN9" i="28" s="1"/>
  <c r="AI9" i="28"/>
  <c r="J17" i="26"/>
  <c r="K17" i="26" s="1"/>
  <c r="J11" i="26"/>
  <c r="K11" i="26" s="1"/>
  <c r="AB10" i="28"/>
  <c r="AC10" i="28"/>
  <c r="AD10" i="28" s="1"/>
  <c r="AF10" i="28" s="1"/>
  <c r="AG10" i="28" s="1"/>
  <c r="AE12" i="28"/>
  <c r="AH12" i="28" s="1"/>
  <c r="AJ17" i="28"/>
  <c r="AK17" i="28" s="1"/>
  <c r="AM17" i="28" s="1"/>
  <c r="AN17" i="28" s="1"/>
  <c r="AI17" i="28"/>
  <c r="AL17" i="28"/>
  <c r="AO17" i="28" s="1"/>
  <c r="X11" i="28"/>
  <c r="AA11" i="28" s="1"/>
  <c r="AH18" i="28"/>
  <c r="S15" i="28"/>
  <c r="T15" i="28" s="1"/>
  <c r="S13" i="28"/>
  <c r="T13" i="28" s="1"/>
  <c r="S8" i="28"/>
  <c r="R19" i="28"/>
  <c r="S16" i="28" s="1"/>
  <c r="T16" i="28" s="1"/>
  <c r="J12" i="26"/>
  <c r="K12" i="26" s="1"/>
  <c r="U13" i="27" s="1"/>
  <c r="W13" i="27" s="1"/>
  <c r="J18" i="26"/>
  <c r="K18" i="26" s="1"/>
  <c r="J20" i="26"/>
  <c r="K20" i="26" s="1"/>
  <c r="U21" i="27" s="1"/>
  <c r="W21" i="27" s="1"/>
  <c r="J21" i="26"/>
  <c r="K21" i="26" s="1"/>
  <c r="J19" i="26"/>
  <c r="K19" i="26" s="1"/>
  <c r="J13" i="26"/>
  <c r="K13" i="26" s="1"/>
  <c r="J16" i="26"/>
  <c r="K16" i="26" s="1"/>
  <c r="J15" i="26"/>
  <c r="K15" i="26" s="1"/>
  <c r="J14" i="26"/>
  <c r="K14" i="26" s="1"/>
  <c r="U15" i="27" s="1"/>
  <c r="W15" i="27" s="1"/>
  <c r="U18" i="27"/>
  <c r="W18" i="27" s="1"/>
  <c r="V16" i="28" l="1"/>
  <c r="W16" i="28" s="1"/>
  <c r="Y16" i="28" s="1"/>
  <c r="Z16" i="28" s="1"/>
  <c r="U16" i="28"/>
  <c r="X16" i="28"/>
  <c r="AA16" i="28" s="1"/>
  <c r="U13" i="28"/>
  <c r="V13" i="28"/>
  <c r="W13" i="28" s="1"/>
  <c r="Y13" i="28" s="1"/>
  <c r="Z13" i="28" s="1"/>
  <c r="AQ17" i="28"/>
  <c r="AR17" i="28" s="1"/>
  <c r="AT17" i="28" s="1"/>
  <c r="AU17" i="28" s="1"/>
  <c r="AP17" i="28"/>
  <c r="AS17" i="28"/>
  <c r="AV17" i="28" s="1"/>
  <c r="AE10" i="28"/>
  <c r="AH10" i="28" s="1"/>
  <c r="AL14" i="28"/>
  <c r="AO14" i="28" s="1"/>
  <c r="U15" i="28"/>
  <c r="V15" i="28"/>
  <c r="W15" i="28" s="1"/>
  <c r="Y15" i="28" s="1"/>
  <c r="AI18" i="28"/>
  <c r="AJ18" i="28"/>
  <c r="AK18" i="28" s="1"/>
  <c r="AM18" i="28" s="1"/>
  <c r="AN18" i="28" s="1"/>
  <c r="AL18" i="28"/>
  <c r="AO18" i="28" s="1"/>
  <c r="T8" i="28"/>
  <c r="S19" i="28"/>
  <c r="AC11" i="28"/>
  <c r="AD11" i="28" s="1"/>
  <c r="AF11" i="28" s="1"/>
  <c r="AG11" i="28" s="1"/>
  <c r="AB11" i="28"/>
  <c r="AJ12" i="28"/>
  <c r="AK12" i="28" s="1"/>
  <c r="AM12" i="28" s="1"/>
  <c r="AN12" i="28" s="1"/>
  <c r="AI12" i="28"/>
  <c r="AL12" i="28"/>
  <c r="AO12" i="28" s="1"/>
  <c r="AP9" i="28"/>
  <c r="AQ9" i="28"/>
  <c r="AR9" i="28" s="1"/>
  <c r="AT9" i="28" s="1"/>
  <c r="AU9" i="28" s="1"/>
  <c r="U12" i="27"/>
  <c r="W12" i="27" s="1"/>
  <c r="U14" i="27"/>
  <c r="W14" i="27" s="1"/>
  <c r="U20" i="27"/>
  <c r="W20" i="27" s="1"/>
  <c r="U19" i="27"/>
  <c r="W19" i="27" s="1"/>
  <c r="U16" i="27"/>
  <c r="W16" i="27" s="1"/>
  <c r="U22" i="27"/>
  <c r="W22" i="27" s="1"/>
  <c r="U17" i="27"/>
  <c r="W17" i="27" s="1"/>
  <c r="J22" i="26"/>
  <c r="K22" i="26"/>
  <c r="L11" i="26" s="1"/>
  <c r="AS9" i="28" l="1"/>
  <c r="AV9" i="28" s="1"/>
  <c r="AP14" i="28"/>
  <c r="AQ14" i="28"/>
  <c r="AR14" i="28" s="1"/>
  <c r="AT14" i="28" s="1"/>
  <c r="AU14" i="28" s="1"/>
  <c r="AC16" i="28"/>
  <c r="AD16" i="28" s="1"/>
  <c r="AF16" i="28" s="1"/>
  <c r="AG16" i="28" s="1"/>
  <c r="AB16" i="28"/>
  <c r="AE16" i="28"/>
  <c r="AH16" i="28" s="1"/>
  <c r="AE11" i="28"/>
  <c r="AH11" i="28" s="1"/>
  <c r="V8" i="28"/>
  <c r="U8" i="28"/>
  <c r="U19" i="28" s="1"/>
  <c r="T19" i="28"/>
  <c r="T23" i="28" s="1"/>
  <c r="T25" i="28" s="1"/>
  <c r="X15" i="28"/>
  <c r="AJ10" i="28"/>
  <c r="AK10" i="28" s="1"/>
  <c r="AM10" i="28" s="1"/>
  <c r="AN10" i="28" s="1"/>
  <c r="AI10" i="28"/>
  <c r="AL10" i="28"/>
  <c r="AO10" i="28" s="1"/>
  <c r="X13" i="28"/>
  <c r="AA13" i="28" s="1"/>
  <c r="AP12" i="28"/>
  <c r="AQ12" i="28"/>
  <c r="AR12" i="28" s="1"/>
  <c r="AT12" i="28" s="1"/>
  <c r="AU12" i="28" s="1"/>
  <c r="AP18" i="28"/>
  <c r="AQ18" i="28"/>
  <c r="AR18" i="28" s="1"/>
  <c r="AT18" i="28" s="1"/>
  <c r="AU18" i="28" s="1"/>
  <c r="AX17" i="28"/>
  <c r="AW17" i="28"/>
  <c r="W23" i="27"/>
  <c r="X12" i="27"/>
  <c r="U23" i="27"/>
  <c r="U23" i="1"/>
  <c r="K26" i="26"/>
  <c r="K27" i="26" s="1"/>
  <c r="L12" i="26"/>
  <c r="L21" i="26"/>
  <c r="L14" i="26"/>
  <c r="L13" i="26"/>
  <c r="L15" i="26"/>
  <c r="L19" i="26"/>
  <c r="L20" i="26"/>
  <c r="L18" i="26"/>
  <c r="L16" i="26"/>
  <c r="L17" i="26"/>
  <c r="AS18" i="28" l="1"/>
  <c r="AV18" i="28" s="1"/>
  <c r="AS12" i="28"/>
  <c r="AV12" i="28" s="1"/>
  <c r="AQ10" i="28"/>
  <c r="AR10" i="28" s="1"/>
  <c r="AT10" i="28" s="1"/>
  <c r="AU10" i="28" s="1"/>
  <c r="AP10" i="28"/>
  <c r="AJ11" i="28"/>
  <c r="AK11" i="28" s="1"/>
  <c r="AM11" i="28" s="1"/>
  <c r="AN11" i="28" s="1"/>
  <c r="AI11" i="28"/>
  <c r="AS14" i="28"/>
  <c r="AV14" i="28" s="1"/>
  <c r="AI16" i="28"/>
  <c r="AJ16" i="28"/>
  <c r="AK16" i="28" s="1"/>
  <c r="AM16" i="28" s="1"/>
  <c r="AN16" i="28" s="1"/>
  <c r="Z12" i="27"/>
  <c r="AC13" i="28"/>
  <c r="AD13" i="28" s="1"/>
  <c r="AF13" i="28" s="1"/>
  <c r="AG13" i="28" s="1"/>
  <c r="AB13" i="28"/>
  <c r="AE13" i="28"/>
  <c r="AH13" i="28" s="1"/>
  <c r="W8" i="28"/>
  <c r="V19" i="28"/>
  <c r="AX9" i="28"/>
  <c r="AW9" i="28"/>
  <c r="M11" i="26"/>
  <c r="M20" i="26"/>
  <c r="X21" i="27"/>
  <c r="Z21" i="27" s="1"/>
  <c r="M14" i="26"/>
  <c r="X15" i="27"/>
  <c r="Z15" i="27" s="1"/>
  <c r="M15" i="26"/>
  <c r="X16" i="27"/>
  <c r="Z16" i="27" s="1"/>
  <c r="M13" i="26"/>
  <c r="X14" i="27"/>
  <c r="Z14" i="27" s="1"/>
  <c r="M19" i="26"/>
  <c r="X20" i="27"/>
  <c r="Z20" i="27" s="1"/>
  <c r="M18" i="26"/>
  <c r="X19" i="27"/>
  <c r="Z19" i="27" s="1"/>
  <c r="M16" i="26"/>
  <c r="X17" i="27"/>
  <c r="Z17" i="27" s="1"/>
  <c r="M12" i="26"/>
  <c r="X13" i="27"/>
  <c r="Z13" i="27" s="1"/>
  <c r="M17" i="26"/>
  <c r="X18" i="27"/>
  <c r="Z18" i="27" s="1"/>
  <c r="M21" i="26"/>
  <c r="X22" i="27"/>
  <c r="Z22" i="27" s="1"/>
  <c r="L22" i="26"/>
  <c r="L26" i="26" s="1"/>
  <c r="L27" i="26" s="1"/>
  <c r="W12" i="1"/>
  <c r="AL16" i="28" l="1"/>
  <c r="AO16" i="28" s="1"/>
  <c r="AL11" i="28"/>
  <c r="AO11" i="28" s="1"/>
  <c r="Y8" i="28"/>
  <c r="X8" i="28"/>
  <c r="X19" i="28" s="1"/>
  <c r="X23" i="27"/>
  <c r="AJ13" i="28"/>
  <c r="AK13" i="28" s="1"/>
  <c r="AM13" i="28" s="1"/>
  <c r="AN13" i="28" s="1"/>
  <c r="AI13" i="28"/>
  <c r="AW12" i="28"/>
  <c r="AX12" i="28"/>
  <c r="AW14" i="28"/>
  <c r="AX14" i="28"/>
  <c r="AS10" i="28"/>
  <c r="AV10" i="28" s="1"/>
  <c r="AW18" i="28"/>
  <c r="AX18" i="28"/>
  <c r="Z23" i="27"/>
  <c r="W14" i="1"/>
  <c r="W15" i="1"/>
  <c r="W18" i="1"/>
  <c r="W21" i="1"/>
  <c r="W13" i="1"/>
  <c r="W20" i="1"/>
  <c r="W17" i="1"/>
  <c r="W19" i="1"/>
  <c r="W16" i="1"/>
  <c r="W22" i="1"/>
  <c r="M22" i="26"/>
  <c r="M26" i="26" s="1"/>
  <c r="M27" i="26" s="1"/>
  <c r="V23" i="1"/>
  <c r="AX10" i="28" l="1"/>
  <c r="AW10" i="28"/>
  <c r="AL13" i="28"/>
  <c r="AO13" i="28" s="1"/>
  <c r="Z8" i="28"/>
  <c r="Y19" i="28"/>
  <c r="Z15" i="28" s="1"/>
  <c r="AA15" i="28" s="1"/>
  <c r="AQ11" i="28"/>
  <c r="AR11" i="28" s="1"/>
  <c r="AT11" i="28" s="1"/>
  <c r="AU11" i="28" s="1"/>
  <c r="AP11" i="28"/>
  <c r="AS11" i="28"/>
  <c r="AQ16" i="28"/>
  <c r="AR16" i="28" s="1"/>
  <c r="AT16" i="28" s="1"/>
  <c r="AU16" i="28" s="1"/>
  <c r="AP16" i="28"/>
  <c r="W23" i="1"/>
  <c r="AB15" i="28" l="1"/>
  <c r="AC15" i="28"/>
  <c r="AD15" i="28" s="1"/>
  <c r="AF15" i="28" s="1"/>
  <c r="AS16" i="28"/>
  <c r="AV16" i="28" s="1"/>
  <c r="AV11" i="28"/>
  <c r="AA8" i="28"/>
  <c r="Z19" i="28"/>
  <c r="AQ13" i="28"/>
  <c r="AR13" i="28" s="1"/>
  <c r="AT13" i="28" s="1"/>
  <c r="AU13" i="28" s="1"/>
  <c r="AP13" i="28"/>
  <c r="AS13" i="28"/>
  <c r="AV13" i="28" s="1"/>
  <c r="AX16" i="28" l="1"/>
  <c r="AW16" i="28"/>
  <c r="AX13" i="28"/>
  <c r="AW13" i="28"/>
  <c r="AE15" i="28"/>
  <c r="AB8" i="28"/>
  <c r="AB19" i="28" s="1"/>
  <c r="AC8" i="28"/>
  <c r="AA19" i="28"/>
  <c r="AA23" i="28" s="1"/>
  <c r="AA25" i="28" s="1"/>
  <c r="AW11" i="28"/>
  <c r="AX11" i="28"/>
  <c r="AD8" i="28" l="1"/>
  <c r="AC19" i="28"/>
  <c r="AF8" i="28" l="1"/>
  <c r="AE8" i="28"/>
  <c r="AE19" i="28" l="1"/>
  <c r="AG15" i="28" s="1"/>
  <c r="AH15" i="28" s="1"/>
  <c r="AG8" i="28"/>
  <c r="AF19" i="28"/>
  <c r="AJ15" i="28" l="1"/>
  <c r="AK15" i="28" s="1"/>
  <c r="AM15" i="28" s="1"/>
  <c r="AI15" i="28"/>
  <c r="AL15" i="28"/>
  <c r="AG19" i="28"/>
  <c r="AH8" i="28"/>
  <c r="AI8" i="28" l="1"/>
  <c r="AI19" i="28" s="1"/>
  <c r="AJ8" i="28"/>
  <c r="AH19" i="28"/>
  <c r="AH23" i="28" s="1"/>
  <c r="AH25" i="28" s="1"/>
  <c r="AK8" i="28" l="1"/>
  <c r="AJ19" i="28"/>
  <c r="AM8" i="28" l="1"/>
  <c r="AL8" i="28"/>
  <c r="AL19" i="28" s="1"/>
  <c r="AN8" i="28" l="1"/>
  <c r="AM19" i="28"/>
  <c r="AN15" i="28" s="1"/>
  <c r="AO15" i="28" s="1"/>
  <c r="AP15" i="28" l="1"/>
  <c r="AQ15" i="28"/>
  <c r="AR15" i="28" s="1"/>
  <c r="AT15" i="28" s="1"/>
  <c r="AO8" i="28"/>
  <c r="AN19" i="28"/>
  <c r="AP8" i="28" l="1"/>
  <c r="AP19" i="28" s="1"/>
  <c r="AQ8" i="28"/>
  <c r="AO19" i="28"/>
  <c r="AO23" i="28" s="1"/>
  <c r="AO25" i="28" s="1"/>
  <c r="AS15" i="28"/>
  <c r="AR8" i="28" l="1"/>
  <c r="AQ19" i="28"/>
  <c r="AT8" i="28" l="1"/>
  <c r="AS8" i="28"/>
  <c r="AS19" i="28" l="1"/>
  <c r="AU15" i="28" s="1"/>
  <c r="AV15" i="28" s="1"/>
  <c r="AU8" i="28"/>
  <c r="AU19" i="28" s="1"/>
  <c r="AT19" i="28"/>
  <c r="AX15" i="28" l="1"/>
  <c r="AW15" i="28"/>
  <c r="AV8" i="28"/>
  <c r="AX8" i="28" l="1"/>
  <c r="AW8" i="28"/>
  <c r="AW19" i="28" s="1"/>
  <c r="AV19" i="28"/>
  <c r="AY15" i="28" s="1"/>
  <c r="AZ15" i="28" s="1"/>
  <c r="BA15" i="28" s="1"/>
  <c r="AV23" i="28" l="1"/>
  <c r="AV25" i="28" s="1"/>
  <c r="AY17" i="28"/>
  <c r="AZ17" i="28" s="1"/>
  <c r="BA17" i="28" s="1"/>
  <c r="AY9" i="28"/>
  <c r="AZ9" i="28" s="1"/>
  <c r="BA9" i="28" s="1"/>
  <c r="AY12" i="28"/>
  <c r="AZ12" i="28" s="1"/>
  <c r="BA12" i="28" s="1"/>
  <c r="AY14" i="28"/>
  <c r="AZ14" i="28" s="1"/>
  <c r="BA14" i="28" s="1"/>
  <c r="AY18" i="28"/>
  <c r="AZ18" i="28" s="1"/>
  <c r="BA18" i="28" s="1"/>
  <c r="AY10" i="28"/>
  <c r="AZ10" i="28" s="1"/>
  <c r="BA10" i="28" s="1"/>
  <c r="AY11" i="28"/>
  <c r="AZ11" i="28" s="1"/>
  <c r="BA11" i="28" s="1"/>
  <c r="AY16" i="28"/>
  <c r="AZ16" i="28" s="1"/>
  <c r="BA16" i="28" s="1"/>
  <c r="AY13" i="28"/>
  <c r="AZ13" i="28" s="1"/>
  <c r="BA13" i="28" s="1"/>
  <c r="AX19" i="28"/>
  <c r="AY8" i="28"/>
  <c r="AY19" i="28" l="1"/>
  <c r="AY23" i="28" s="1"/>
  <c r="AY25" i="28" s="1"/>
  <c r="AZ8" i="28"/>
  <c r="AZ19" i="28" l="1"/>
  <c r="BA8" i="28"/>
  <c r="BA19" i="28" s="1"/>
</calcChain>
</file>

<file path=xl/comments1.xml><?xml version="1.0" encoding="utf-8"?>
<comments xmlns="http://schemas.openxmlformats.org/spreadsheetml/2006/main">
  <authors>
    <author>user</author>
  </authors>
  <commentList>
    <comment ref="C7" authorId="0" shapeId="0">
      <text>
        <r>
          <rPr>
            <b/>
            <sz val="8"/>
            <color indexed="81"/>
            <rFont val="Tahoma"/>
            <family val="2"/>
          </rPr>
          <t>from 2003 Base Factors</t>
        </r>
      </text>
    </comment>
    <comment ref="D7" authorId="0" shapeId="0">
      <text>
        <r>
          <rPr>
            <b/>
            <sz val="8"/>
            <color indexed="81"/>
            <rFont val="Tahoma"/>
            <family val="2"/>
          </rPr>
          <t>from Pivot - P&amp; E.  These are factors from the Planning &amp; Evaluation area that's based on the census data from each county.</t>
        </r>
      </text>
    </comment>
    <comment ref="U7" authorId="0" shapeId="0">
      <text>
        <r>
          <rPr>
            <b/>
            <sz val="8"/>
            <color indexed="81"/>
            <rFont val="Tahoma"/>
            <family val="2"/>
          </rPr>
          <t>does not change from last award. Admin stays the same; tho the services increased.</t>
        </r>
      </text>
    </comment>
    <comment ref="V7" authorId="0" shapeId="0">
      <text>
        <r>
          <rPr>
            <b/>
            <sz val="8"/>
            <color indexed="81"/>
            <rFont val="Tahoma"/>
            <family val="2"/>
          </rPr>
          <t>does not change from last award. Admin stays the same; tho the services increased.</t>
        </r>
      </text>
    </comment>
  </commentList>
</comments>
</file>

<file path=xl/comments2.xml><?xml version="1.0" encoding="utf-8"?>
<comments xmlns="http://schemas.openxmlformats.org/spreadsheetml/2006/main">
  <authors>
    <author>JM</author>
  </authors>
  <commentList>
    <comment ref="C7" authorId="0" shapeId="0">
      <text>
        <r>
          <rPr>
            <b/>
            <sz val="8"/>
            <color indexed="81"/>
            <rFont val="Tahoma"/>
            <family val="2"/>
          </rPr>
          <t>from Pivot - P&amp;E.</t>
        </r>
      </text>
    </comment>
    <comment ref="G7" authorId="0" shapeId="0">
      <text>
        <r>
          <rPr>
            <b/>
            <sz val="8"/>
            <color indexed="81"/>
            <rFont val="Tahoma"/>
            <family val="2"/>
          </rPr>
          <t>from CCE Allocation - no admin</t>
        </r>
      </text>
    </comment>
  </commentList>
</comments>
</file>

<file path=xl/comments3.xml><?xml version="1.0" encoding="utf-8"?>
<comments xmlns="http://schemas.openxmlformats.org/spreadsheetml/2006/main">
  <authors>
    <author>JM</author>
  </authors>
  <commentList>
    <comment ref="F3" authorId="0" shapeId="0">
      <text>
        <r>
          <rPr>
            <b/>
            <sz val="8"/>
            <color indexed="81"/>
            <rFont val="Tahoma"/>
            <family val="2"/>
          </rPr>
          <t xml:space="preserve">includes self-care disability
</t>
        </r>
      </text>
    </comment>
  </commentList>
</comments>
</file>

<file path=xl/sharedStrings.xml><?xml version="1.0" encoding="utf-8"?>
<sst xmlns="http://schemas.openxmlformats.org/spreadsheetml/2006/main" count="628" uniqueCount="285">
  <si>
    <t xml:space="preserve"> </t>
  </si>
  <si>
    <t>Total</t>
  </si>
  <si>
    <t>Factors</t>
  </si>
  <si>
    <t>OAA</t>
  </si>
  <si>
    <t>GR</t>
  </si>
  <si>
    <t>PSA</t>
  </si>
  <si>
    <t>Supportive</t>
  </si>
  <si>
    <t>Increase</t>
  </si>
  <si>
    <t>Congregate</t>
  </si>
  <si>
    <t>Home Del</t>
  </si>
  <si>
    <t>Admin</t>
  </si>
  <si>
    <t>Contract</t>
  </si>
  <si>
    <t>Services</t>
  </si>
  <si>
    <t>Meals</t>
  </si>
  <si>
    <t>Caregiver</t>
  </si>
  <si>
    <t>Family</t>
  </si>
  <si>
    <t>Alloca</t>
  </si>
  <si>
    <t>Amt (incl GR)</t>
  </si>
  <si>
    <t>Amount</t>
  </si>
  <si>
    <t>10</t>
  </si>
  <si>
    <t>11</t>
  </si>
  <si>
    <t>PREVENTIVE</t>
  </si>
  <si>
    <t>HEALTH</t>
  </si>
  <si>
    <t>Total Elder Abuse Prevention</t>
  </si>
  <si>
    <t xml:space="preserve">Other Costs </t>
  </si>
  <si>
    <t>Total PSA Contracts</t>
  </si>
  <si>
    <t>Assumptions for Above Allocation:</t>
  </si>
  <si>
    <t>Contract Amount</t>
  </si>
  <si>
    <t>Elder Abuse Prevention</t>
  </si>
  <si>
    <t>Difference</t>
  </si>
  <si>
    <t>PREVENTION</t>
  </si>
  <si>
    <t>ACTIVITY</t>
  </si>
  <si>
    <t>CAREGIVER</t>
  </si>
  <si>
    <t>MEALS</t>
  </si>
  <si>
    <t>SERVICES</t>
  </si>
  <si>
    <t>III/VII</t>
  </si>
  <si>
    <t>ELDER ABUSE</t>
  </si>
  <si>
    <t xml:space="preserve">OMBUDSMAN </t>
  </si>
  <si>
    <t>CONGREGATE</t>
  </si>
  <si>
    <t xml:space="preserve">SUPPORTIVE </t>
  </si>
  <si>
    <t>AMOUNT</t>
  </si>
  <si>
    <t>VII</t>
  </si>
  <si>
    <t>III-E</t>
  </si>
  <si>
    <t>III-B</t>
  </si>
  <si>
    <t>TOTAL</t>
  </si>
  <si>
    <t>County</t>
  </si>
  <si>
    <t>60+</t>
  </si>
  <si>
    <t>Escambia</t>
  </si>
  <si>
    <t>Okaloosa</t>
  </si>
  <si>
    <t>Santa Rosa</t>
  </si>
  <si>
    <t>Walton</t>
  </si>
  <si>
    <t>Bay</t>
  </si>
  <si>
    <t>Calhoun</t>
  </si>
  <si>
    <t>Franklin</t>
  </si>
  <si>
    <t>Gadsden</t>
  </si>
  <si>
    <t>Gulf</t>
  </si>
  <si>
    <t>Holmes</t>
  </si>
  <si>
    <t>Jackson</t>
  </si>
  <si>
    <t>Jefferson</t>
  </si>
  <si>
    <t>Leon</t>
  </si>
  <si>
    <t>Liberty</t>
  </si>
  <si>
    <t>Madison</t>
  </si>
  <si>
    <t>Taylor</t>
  </si>
  <si>
    <t>Wakulla</t>
  </si>
  <si>
    <t>Washington</t>
  </si>
  <si>
    <t>Alachua</t>
  </si>
  <si>
    <t>Bradford</t>
  </si>
  <si>
    <t>Citrus</t>
  </si>
  <si>
    <t>Columbia</t>
  </si>
  <si>
    <t>Dixie</t>
  </si>
  <si>
    <t>Gilchrist</t>
  </si>
  <si>
    <t>Hamilton</t>
  </si>
  <si>
    <t>Hernando</t>
  </si>
  <si>
    <t>Lafayette</t>
  </si>
  <si>
    <t>Lake</t>
  </si>
  <si>
    <t>Levy</t>
  </si>
  <si>
    <t>Marion</t>
  </si>
  <si>
    <t>Putnam</t>
  </si>
  <si>
    <t>Sumter</t>
  </si>
  <si>
    <t>Suwannee</t>
  </si>
  <si>
    <t>Union</t>
  </si>
  <si>
    <t>Baker</t>
  </si>
  <si>
    <t>Clay</t>
  </si>
  <si>
    <t>Duval</t>
  </si>
  <si>
    <t>Flagler</t>
  </si>
  <si>
    <t>Nassau</t>
  </si>
  <si>
    <t>St. Johns</t>
  </si>
  <si>
    <t>Volusia</t>
  </si>
  <si>
    <t>Pasco</t>
  </si>
  <si>
    <t>Pinellas</t>
  </si>
  <si>
    <t>Hardee</t>
  </si>
  <si>
    <t>Highlands</t>
  </si>
  <si>
    <t>Hillsborough</t>
  </si>
  <si>
    <t>Manatee</t>
  </si>
  <si>
    <t>Polk</t>
  </si>
  <si>
    <t>Brevard</t>
  </si>
  <si>
    <t>Orange</t>
  </si>
  <si>
    <t>Osceola</t>
  </si>
  <si>
    <t>Seminole</t>
  </si>
  <si>
    <t>Charlotte</t>
  </si>
  <si>
    <t>Collier</t>
  </si>
  <si>
    <t>Glades</t>
  </si>
  <si>
    <t>Hendry</t>
  </si>
  <si>
    <t>Lee</t>
  </si>
  <si>
    <t>Sarasota</t>
  </si>
  <si>
    <t>Indian River</t>
  </si>
  <si>
    <t>Martin</t>
  </si>
  <si>
    <t>Okeechobee</t>
  </si>
  <si>
    <t>Palm Beach</t>
  </si>
  <si>
    <t>St. Lucie</t>
  </si>
  <si>
    <t>Broward</t>
  </si>
  <si>
    <t>Miami-Dade</t>
  </si>
  <si>
    <t>Monroe</t>
  </si>
  <si>
    <t>Values</t>
  </si>
  <si>
    <t>Grand Total</t>
  </si>
  <si>
    <t>PSA  Formula Share</t>
  </si>
  <si>
    <t>ALLOTMENT/MODIFICATION</t>
  </si>
  <si>
    <t>Base**</t>
  </si>
  <si>
    <t>No. of</t>
  </si>
  <si>
    <t>Allocation</t>
  </si>
  <si>
    <t>50% Weight</t>
  </si>
  <si>
    <t>Counties</t>
  </si>
  <si>
    <t>25% Weight</t>
  </si>
  <si>
    <t>Allocated</t>
  </si>
  <si>
    <t>Per AAA</t>
  </si>
  <si>
    <t>Number</t>
  </si>
  <si>
    <t>Factor</t>
  </si>
  <si>
    <t>In PSA</t>
  </si>
  <si>
    <t>Amount*</t>
  </si>
  <si>
    <t>All Factors</t>
  </si>
  <si>
    <t>Over Base</t>
  </si>
  <si>
    <t>*</t>
  </si>
  <si>
    <t>**</t>
  </si>
  <si>
    <t>Base equals 7% of OAA services with a minimum of $230,000 per PSA.</t>
  </si>
  <si>
    <t>2003 Award</t>
  </si>
  <si>
    <t>Notes:</t>
  </si>
  <si>
    <t>Calculated</t>
  </si>
  <si>
    <t>HOME DELIVERED</t>
  </si>
  <si>
    <t>NATL FAMILY</t>
  </si>
  <si>
    <t>Services Allocated on Based Service Level of Funding from the 2003 Grant</t>
  </si>
  <si>
    <t>Population 60+</t>
  </si>
  <si>
    <t>Population 60+ Below Federal Poverty Level (FPL)</t>
  </si>
  <si>
    <t>Minority Population 60+ Below 125% FPL</t>
  </si>
  <si>
    <t>Sum of Population 60+</t>
  </si>
  <si>
    <t>Sum of Population 60+ Below Federal Poverty Level (FPL)</t>
  </si>
  <si>
    <t>Sum of Minority Population 60+ Below 125% FPL</t>
  </si>
  <si>
    <t>Funding</t>
  </si>
  <si>
    <t>over Base</t>
  </si>
  <si>
    <t>under Base</t>
  </si>
  <si>
    <t>Funding allocation is based on the approved Intrastate Funding Formula under the provisions of the Older Americans Act.  Allocation was approved by Department of Health &amp; Human Services on December 31, 2003.</t>
  </si>
  <si>
    <t>Preventive Health Funding Allocation</t>
  </si>
  <si>
    <t>Reallocation Based on New Method</t>
  </si>
  <si>
    <t>Round 1 Hold Harmless - Reallocate When Award &lt;&gt; Base</t>
  </si>
  <si>
    <t>Round 2 Hold Harmless - Reallocate When Award &lt;&gt; Base</t>
  </si>
  <si>
    <t>Round 3 Hold Harmless - Reallocate When Award &lt;&gt; Base</t>
  </si>
  <si>
    <t>Round 4 Hold Harmless - Reallocate When Award &lt;&gt; Base</t>
  </si>
  <si>
    <t>Round 5 Hold Harmless - Reallocate When Award &lt;&gt; Base</t>
  </si>
  <si>
    <t>Round 6 Hold Harmless - To Determine Change from Previous Round</t>
  </si>
  <si>
    <t>Re-Allocation Based on Old Method</t>
  </si>
  <si>
    <t>Base Allocation</t>
  </si>
  <si>
    <t>60 And Over Below Poverty</t>
  </si>
  <si>
    <t>Formula Allocation</t>
  </si>
  <si>
    <t>Base or Formula Allocation</t>
  </si>
  <si>
    <t>Re-Allocation</t>
  </si>
  <si>
    <t>Increase (Decrease)</t>
  </si>
  <si>
    <t>Hold Harmless? 1=yes</t>
  </si>
  <si>
    <t>Allocation to non H.H.</t>
  </si>
  <si>
    <t>Allocation to H.H.</t>
  </si>
  <si>
    <t>Amount Reduced to hold harmless</t>
  </si>
  <si>
    <t>Award Amount</t>
  </si>
  <si>
    <t>Award less Base</t>
  </si>
  <si>
    <t>H.H. Check</t>
  </si>
  <si>
    <t xml:space="preserve">Award Changed from Previous Round? </t>
  </si>
  <si>
    <t>Difference from Both Methods</t>
  </si>
  <si>
    <t>Award</t>
  </si>
  <si>
    <t>Percentage of Program Admin to Total Admin</t>
  </si>
  <si>
    <t>Program Admin</t>
  </si>
  <si>
    <r>
      <t>AAA Administration</t>
    </r>
    <r>
      <rPr>
        <vertAlign val="superscript"/>
        <sz val="11"/>
        <rFont val="Calibri"/>
        <family val="2"/>
        <scheme val="minor"/>
      </rPr>
      <t>3</t>
    </r>
  </si>
  <si>
    <r>
      <t>AAA's - Balance of Grant Award</t>
    </r>
    <r>
      <rPr>
        <vertAlign val="superscript"/>
        <sz val="11"/>
        <rFont val="Calibri"/>
        <family val="2"/>
        <scheme val="minor"/>
      </rPr>
      <t>5</t>
    </r>
  </si>
  <si>
    <t>Test of Rounding</t>
  </si>
  <si>
    <t xml:space="preserve">  3.  Area Agency Administration computed using 10% of the original grant award balance for programs III-B, III-C1, III-C2, and III-E (III-D amount</t>
  </si>
  <si>
    <t xml:space="preserve"> is included for calculation purposes only).</t>
  </si>
  <si>
    <t xml:space="preserve">  2.  Ombudsman Allocation from IIIB must be same as 2000 ($404,660).</t>
  </si>
  <si>
    <r>
      <t>Long Term Care Ombudsman Program</t>
    </r>
    <r>
      <rPr>
        <vertAlign val="superscript"/>
        <sz val="11"/>
        <rFont val="Calibri"/>
        <family val="2"/>
        <scheme val="minor"/>
      </rPr>
      <t>2</t>
    </r>
  </si>
  <si>
    <t>III-C1</t>
  </si>
  <si>
    <t>III-C2</t>
  </si>
  <si>
    <r>
      <t>III-D</t>
    </r>
    <r>
      <rPr>
        <b/>
        <vertAlign val="superscript"/>
        <sz val="11"/>
        <rFont val="Calibri"/>
        <family val="2"/>
        <scheme val="minor"/>
      </rPr>
      <t>4</t>
    </r>
  </si>
  <si>
    <t>Title III-B</t>
  </si>
  <si>
    <t>Title III-C1</t>
  </si>
  <si>
    <t>Title III-C2</t>
  </si>
  <si>
    <t>Title III-E</t>
  </si>
  <si>
    <t xml:space="preserve">Florida's Allotments Under The Older Americans Act </t>
  </si>
  <si>
    <t>65 and Over Medically Underserved</t>
  </si>
  <si>
    <t>Low Income 60+</t>
  </si>
  <si>
    <t>Minority 60+ 125% PL</t>
  </si>
  <si>
    <t>Mobility &amp; Self Care Limitations 60+</t>
  </si>
  <si>
    <t>DeSoto</t>
  </si>
  <si>
    <t>Sum of 60+</t>
  </si>
  <si>
    <t>Sum of Low Income 60+</t>
  </si>
  <si>
    <t>Sum of Minority 60+ 125% PL</t>
  </si>
  <si>
    <t>Sum of Mobility &amp; Self Care Limitations 60+</t>
  </si>
  <si>
    <t>AREA AGENCY ADMINISTRATION ALLOCATION</t>
  </si>
  <si>
    <t>PSA 03 Pop</t>
  </si>
  <si>
    <t>CCE Svcs.</t>
  </si>
  <si>
    <t>GR Alloca Based</t>
  </si>
  <si>
    <t>Total 2003</t>
  </si>
  <si>
    <t>FY 02/03</t>
  </si>
  <si>
    <t>2003 Fed</t>
  </si>
  <si>
    <t>Based on Admin</t>
  </si>
  <si>
    <t>OAA--Adm</t>
  </si>
  <si>
    <t>Fed Amt. 2003</t>
  </si>
  <si>
    <t>Fed + GR</t>
  </si>
  <si>
    <t>1</t>
  </si>
  <si>
    <t>2</t>
  </si>
  <si>
    <t>3</t>
  </si>
  <si>
    <t>4</t>
  </si>
  <si>
    <t>5</t>
  </si>
  <si>
    <t>6</t>
  </si>
  <si>
    <t>7</t>
  </si>
  <si>
    <t>8</t>
  </si>
  <si>
    <t>9</t>
  </si>
  <si>
    <t>Amount over base=</t>
  </si>
  <si>
    <t>Allocation for CCE for 2002/2003.</t>
  </si>
  <si>
    <t>Using 2003 Population Data (1990 Census)</t>
  </si>
  <si>
    <t>2003 OLDER AMERICANS ACT ALLOCATION</t>
  </si>
  <si>
    <t xml:space="preserve">  1.  State Administration computed using the original grant award balance for programs III-B, III-C1, III-C2, III-D, and III-E.</t>
  </si>
  <si>
    <t>Administrative Funding Allocation</t>
  </si>
  <si>
    <t>PSA  Pop</t>
  </si>
  <si>
    <t>CCE Services</t>
  </si>
  <si>
    <t>Federal</t>
  </si>
  <si>
    <t>Gen Rev</t>
  </si>
  <si>
    <t>OAA Admin</t>
  </si>
  <si>
    <t>(Fed + GR)</t>
  </si>
  <si>
    <t>Base</t>
  </si>
  <si>
    <t>Supplemental</t>
  </si>
  <si>
    <t>Original</t>
  </si>
  <si>
    <t xml:space="preserve">  4.  For III-D, award must be evidence based according to AOA Award.</t>
  </si>
  <si>
    <t>Population 60+ With 2 or More Disabilities</t>
  </si>
  <si>
    <t>Increase or (Reduction)</t>
  </si>
  <si>
    <t>Increase or (Reduction) %</t>
  </si>
  <si>
    <t>Title III</t>
  </si>
  <si>
    <t>Title VII</t>
  </si>
  <si>
    <t>Sum of Population 60+ With 2 or More Disabilities</t>
  </si>
  <si>
    <t>Medication Management (20.8%)</t>
  </si>
  <si>
    <t>Health &amp; Wellness (79.2%)</t>
  </si>
  <si>
    <t>Title III-D</t>
  </si>
  <si>
    <t>Preventive</t>
  </si>
  <si>
    <t>Health</t>
  </si>
  <si>
    <t>Services Only</t>
  </si>
  <si>
    <t>2015 Award</t>
  </si>
  <si>
    <t>FY 2014-15</t>
  </si>
  <si>
    <t>Source</t>
  </si>
  <si>
    <r>
      <rPr>
        <vertAlign val="superscript"/>
        <sz val="11"/>
        <color theme="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60+ : Florida Population by County, Age, Race, Ethnicity and Gender provided by Florida Legislature, Office of Economic and Demographic Research
</t>
    </r>
  </si>
  <si>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Population 60+ Below Federal Poverty Level (FPL):Department of Elder Affairs calculations based on Florida Population data and 2009-2013 American Community Survey data
</t>
    </r>
  </si>
  <si>
    <r>
      <rPr>
        <vertAlign val="superscript"/>
        <sz val="11"/>
        <color theme="1"/>
        <rFont val="Calibri"/>
        <family val="2"/>
        <scheme val="minor"/>
      </rPr>
      <t>5</t>
    </r>
    <r>
      <rPr>
        <sz val="11"/>
        <rFont val="Calibri"/>
        <family val="2"/>
        <scheme val="minor"/>
      </rPr>
      <t>Medically Underserved:Florida Agency for Health Care Administration</t>
    </r>
  </si>
  <si>
    <t>Carry</t>
  </si>
  <si>
    <t>Forward</t>
  </si>
  <si>
    <t>Transfer</t>
  </si>
  <si>
    <t>of</t>
  </si>
  <si>
    <t>Title</t>
  </si>
  <si>
    <t>Grant Award: 2016 Older Americans Act Allocation</t>
  </si>
  <si>
    <t>Florida's 2016 Allotments (February)</t>
  </si>
  <si>
    <t>Florida's 2015 Allotments (Final)</t>
  </si>
  <si>
    <t>State Agency Administration 2016</t>
  </si>
  <si>
    <t>AAA Service Allocation - 2016</t>
  </si>
  <si>
    <t>AAA Administration - 2016</t>
  </si>
  <si>
    <t xml:space="preserve">  5.  Contract Period:  January 1, 2016 through December 31, 2016.</t>
  </si>
  <si>
    <t>Title VII, Contract Period 1/1/16 - 12/31/16</t>
  </si>
  <si>
    <t>Grant GEA16</t>
  </si>
  <si>
    <t>Purchase Orders</t>
  </si>
  <si>
    <t>Balance Allocated Using 2016 Population Projections (2000 Census)</t>
  </si>
  <si>
    <t>FY 2015-16</t>
  </si>
  <si>
    <t>Grant Award 2016 for Title III and 2016 Title VII</t>
  </si>
  <si>
    <t>2016 Award</t>
  </si>
  <si>
    <t>Direct services allocation for CCE in 2015-2016 (without administrative funds).</t>
  </si>
  <si>
    <t>2016 FACTORS FOR OAA INTRASTATE FORMULA</t>
  </si>
  <si>
    <t xml:space="preserve"> from Planning and Evaluation</t>
  </si>
  <si>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rFont val="Calibri"/>
        <family val="2"/>
        <scheme val="minor"/>
      </rPr>
      <t>Minority Population 60+ with Income Below 125% of the Poverty Level:Department of Elder Affairs calculations based on Florida Population data and 2009-2013 American Community Survey data</t>
    </r>
  </si>
  <si>
    <r>
      <rPr>
        <vertAlign val="superscript"/>
        <sz val="11"/>
        <color theme="1"/>
        <rFont val="Calibri"/>
        <family val="2"/>
        <scheme val="minor"/>
      </rPr>
      <t>4</t>
    </r>
    <r>
      <rPr>
        <sz val="11"/>
        <rFont val="Calibri"/>
        <family val="2"/>
        <scheme val="minor"/>
      </rPr>
      <t>Population 60+ With 2 or More Disabilities:Department of Elder Affairs calculations based on Florida Population data and 2009-2013 American Community Survey data</t>
    </r>
  </si>
  <si>
    <t>Grant Award: 2015 Older Americans Act Allocation</t>
  </si>
  <si>
    <t>Row Labels</t>
  </si>
  <si>
    <t>Sum of People Age 65 &amp; Over Living in Medically Underserved Areas &amp; Populations</t>
  </si>
  <si>
    <t>Sum of Population 60+ Below Federal Poverty Level (FPL)2</t>
  </si>
  <si>
    <r>
      <t>Population 60+ Below Federal Poverty Level (FPL)</t>
    </r>
    <r>
      <rPr>
        <vertAlign val="superscript"/>
        <sz val="11"/>
        <color theme="1"/>
        <rFont val="Calibri"/>
        <family val="2"/>
        <scheme val="minor"/>
      </rPr>
      <t>2</t>
    </r>
  </si>
  <si>
    <t>People Age 65 &amp; Over Living in Medically Underserved Areas &amp; Populations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</si>
</sst>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00"/>
    <numFmt numFmtId="165" formatCode="_(* #,##0_);_(* \(#,##0\);_(* &quot;-&quot;??_);_(@_)"/>
    <numFmt numFmtId="166" formatCode="0.0000000%"/>
    <numFmt numFmtId="167" formatCode="#,##0.000000"/>
  </numFmts>
  <fonts count="37">
    <font>
      <sz val="12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sz val="11"/>
      <name val="돋움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sz val="12"/>
      <name val="Arial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Calibri"/>
      <family val="2"/>
      <scheme val="minor"/>
    </font>
    <font>
      <b/>
      <sz val="9"/>
      <name val="Calibri"/>
      <family val="2"/>
      <scheme val="minor"/>
    </font>
    <font>
      <b/>
      <sz val="8"/>
      <color indexed="81"/>
      <name val="Tahoma"/>
      <family val="2"/>
    </font>
    <font>
      <sz val="11"/>
      <color indexed="8"/>
      <name val="Calibri"/>
      <family val="2"/>
      <scheme val="minor"/>
    </font>
    <font>
      <sz val="9"/>
      <name val="Calibri"/>
      <family val="2"/>
      <scheme val="minor"/>
    </font>
    <font>
      <b/>
      <sz val="11"/>
      <color indexed="10"/>
      <name val="Calibri"/>
      <family val="2"/>
      <scheme val="minor"/>
    </font>
    <font>
      <vertAlign val="superscript"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b/>
      <vertAlign val="superscript"/>
      <sz val="11"/>
      <name val="Calibri"/>
      <family val="2"/>
      <scheme val="minor"/>
    </font>
    <font>
      <b/>
      <sz val="10"/>
      <name val="MS Sans Serif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0"/>
      <name val="Arial"/>
      <family val="2"/>
    </font>
    <font>
      <vertAlign val="superscript"/>
      <sz val="11"/>
      <color theme="1"/>
      <name val="Calibri"/>
      <family val="2"/>
      <scheme val="minor"/>
    </font>
    <font>
      <sz val="11"/>
      <color rgb="FF00206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</font>
    <font>
      <sz val="11"/>
      <color rgb="FF002060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44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9"/>
      </patternFill>
    </fill>
    <fill>
      <patternFill patternType="solid">
        <fgColor theme="8" tint="0.79998168889431442"/>
        <bgColor indexed="9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9"/>
      </patternFill>
    </fill>
    <fill>
      <patternFill patternType="solid">
        <fgColor theme="9" tint="0.79998168889431442"/>
        <bgColor theme="4" tint="0.79998168889431442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5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57">
    <xf numFmtId="0" fontId="0" fillId="0" borderId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8" fillId="0" borderId="0"/>
    <xf numFmtId="0" fontId="9" fillId="0" borderId="0"/>
    <xf numFmtId="0" fontId="7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5" fillId="0" borderId="0"/>
    <xf numFmtId="43" fontId="1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8" fillId="0" borderId="0"/>
    <xf numFmtId="0" fontId="8" fillId="0" borderId="0"/>
    <xf numFmtId="0" fontId="29" fillId="0" borderId="0"/>
    <xf numFmtId="43" fontId="7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5" fillId="0" borderId="0"/>
    <xf numFmtId="0" fontId="31" fillId="0" borderId="0"/>
    <xf numFmtId="44" fontId="31" fillId="0" borderId="0" applyFont="0" applyFill="0" applyBorder="0" applyAlignment="0" applyProtection="0"/>
    <xf numFmtId="0" fontId="9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8" fillId="0" borderId="0"/>
    <xf numFmtId="9" fontId="7" fillId="0" borderId="0" applyFont="0" applyFill="0" applyBorder="0" applyAlignment="0" applyProtection="0"/>
    <xf numFmtId="0" fontId="4" fillId="0" borderId="0"/>
    <xf numFmtId="0" fontId="8" fillId="0" borderId="0"/>
    <xf numFmtId="44" fontId="8" fillId="0" borderId="0" applyFont="0" applyFill="0" applyBorder="0" applyAlignment="0" applyProtection="0"/>
    <xf numFmtId="0" fontId="8" fillId="0" borderId="0"/>
    <xf numFmtId="0" fontId="34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8" fillId="0" borderId="0"/>
    <xf numFmtId="0" fontId="1" fillId="0" borderId="0"/>
    <xf numFmtId="43" fontId="8" fillId="0" borderId="0" applyFont="0" applyFill="0" applyBorder="0" applyAlignment="0" applyProtection="0"/>
  </cellStyleXfs>
  <cellXfs count="423">
    <xf numFmtId="0" fontId="0" fillId="0" borderId="0" xfId="0"/>
    <xf numFmtId="165" fontId="12" fillId="3" borderId="12" xfId="1" applyNumberFormat="1" applyFont="1" applyFill="1" applyBorder="1" applyAlignment="1">
      <alignment horizontal="center" wrapText="1"/>
    </xf>
    <xf numFmtId="0" fontId="13" fillId="0" borderId="0" xfId="0" applyFont="1"/>
    <xf numFmtId="0" fontId="13" fillId="0" borderId="0" xfId="0" applyFont="1" applyAlignment="1">
      <alignment wrapText="1"/>
    </xf>
    <xf numFmtId="0" fontId="13" fillId="0" borderId="0" xfId="0" applyFont="1" applyAlignment="1">
      <alignment horizontal="center" wrapText="1"/>
    </xf>
    <xf numFmtId="0" fontId="13" fillId="0" borderId="0" xfId="0" applyFont="1" applyAlignment="1">
      <alignment horizontal="center"/>
    </xf>
    <xf numFmtId="0" fontId="13" fillId="0" borderId="0" xfId="0" pivotButton="1" applyFont="1" applyAlignment="1">
      <alignment horizontal="center" wrapText="1"/>
    </xf>
    <xf numFmtId="0" fontId="13" fillId="0" borderId="0" xfId="0" pivotButton="1" applyFont="1" applyAlignment="1">
      <alignment horizontal="center"/>
    </xf>
    <xf numFmtId="41" fontId="13" fillId="0" borderId="0" xfId="0" applyNumberFormat="1" applyFont="1" applyAlignment="1">
      <alignment horizontal="center"/>
    </xf>
    <xf numFmtId="0" fontId="13" fillId="0" borderId="0" xfId="14" applyFont="1"/>
    <xf numFmtId="0" fontId="12" fillId="0" borderId="0" xfId="14" applyFont="1"/>
    <xf numFmtId="5" fontId="13" fillId="0" borderId="0" xfId="14" applyNumberFormat="1" applyFont="1"/>
    <xf numFmtId="166" fontId="13" fillId="0" borderId="0" xfId="14" applyNumberFormat="1" applyFont="1"/>
    <xf numFmtId="0" fontId="12" fillId="0" borderId="0" xfId="14" applyFont="1" applyBorder="1"/>
    <xf numFmtId="0" fontId="13" fillId="0" borderId="1" xfId="14" applyFont="1" applyBorder="1"/>
    <xf numFmtId="0" fontId="13" fillId="0" borderId="7" xfId="14" applyFont="1" applyBorder="1"/>
    <xf numFmtId="0" fontId="13" fillId="0" borderId="0" xfId="14" applyFont="1" applyBorder="1"/>
    <xf numFmtId="0" fontId="12" fillId="0" borderId="7" xfId="14" applyFont="1" applyBorder="1"/>
    <xf numFmtId="3" fontId="13" fillId="0" borderId="0" xfId="14" applyNumberFormat="1" applyFont="1" applyBorder="1"/>
    <xf numFmtId="0" fontId="13" fillId="0" borderId="4" xfId="14" applyFont="1" applyBorder="1"/>
    <xf numFmtId="0" fontId="13" fillId="0" borderId="6" xfId="14" applyFont="1" applyBorder="1"/>
    <xf numFmtId="3" fontId="13" fillId="0" borderId="0" xfId="14" applyNumberFormat="1" applyFont="1" applyBorder="1" applyAlignment="1">
      <alignment horizontal="center"/>
    </xf>
    <xf numFmtId="0" fontId="13" fillId="0" borderId="4" xfId="14" applyFont="1" applyFill="1" applyBorder="1"/>
    <xf numFmtId="3" fontId="13" fillId="0" borderId="6" xfId="14" applyNumberFormat="1" applyFont="1" applyFill="1" applyBorder="1"/>
    <xf numFmtId="3" fontId="13" fillId="0" borderId="7" xfId="14" applyNumberFormat="1" applyFont="1" applyBorder="1" applyAlignment="1">
      <alignment horizontal="center"/>
    </xf>
    <xf numFmtId="3" fontId="13" fillId="0" borderId="8" xfId="14" applyNumberFormat="1" applyFont="1" applyBorder="1" applyAlignment="1">
      <alignment horizontal="center"/>
    </xf>
    <xf numFmtId="0" fontId="13" fillId="0" borderId="0" xfId="14" applyFont="1" applyFill="1" applyBorder="1"/>
    <xf numFmtId="3" fontId="13" fillId="0" borderId="4" xfId="14" applyNumberFormat="1" applyFont="1" applyBorder="1" applyAlignment="1">
      <alignment horizontal="center"/>
    </xf>
    <xf numFmtId="3" fontId="13" fillId="0" borderId="3" xfId="14" applyNumberFormat="1" applyFont="1" applyBorder="1"/>
    <xf numFmtId="3" fontId="13" fillId="0" borderId="2" xfId="14" applyNumberFormat="1" applyFont="1" applyBorder="1"/>
    <xf numFmtId="3" fontId="13" fillId="0" borderId="7" xfId="14" applyNumberFormat="1" applyFont="1" applyBorder="1" applyAlignment="1">
      <alignment horizontal="left"/>
    </xf>
    <xf numFmtId="3" fontId="13" fillId="4" borderId="5" xfId="14" applyNumberFormat="1" applyFont="1" applyFill="1" applyBorder="1"/>
    <xf numFmtId="3" fontId="13" fillId="4" borderId="0" xfId="14" applyNumberFormat="1" applyFont="1" applyFill="1" applyBorder="1" applyAlignment="1">
      <alignment horizontal="center"/>
    </xf>
    <xf numFmtId="3" fontId="13" fillId="4" borderId="6" xfId="14" applyNumberFormat="1" applyFont="1" applyFill="1" applyBorder="1" applyAlignment="1">
      <alignment horizontal="center"/>
    </xf>
    <xf numFmtId="0" fontId="13" fillId="0" borderId="7" xfId="14" applyFont="1" applyBorder="1" applyAlignment="1">
      <alignment horizontal="left"/>
    </xf>
    <xf numFmtId="0" fontId="13" fillId="0" borderId="8" xfId="14" applyFont="1" applyBorder="1"/>
    <xf numFmtId="0" fontId="13" fillId="0" borderId="0" xfId="14" applyNumberFormat="1" applyFont="1" applyBorder="1" applyAlignment="1">
      <alignment horizontal="center"/>
    </xf>
    <xf numFmtId="165" fontId="13" fillId="0" borderId="0" xfId="14" applyNumberFormat="1" applyFont="1" applyBorder="1" applyAlignment="1">
      <alignment horizontal="center"/>
    </xf>
    <xf numFmtId="3" fontId="12" fillId="0" borderId="1" xfId="14" applyNumberFormat="1" applyFont="1" applyFill="1" applyBorder="1"/>
    <xf numFmtId="0" fontId="13" fillId="0" borderId="0" xfId="14" applyFont="1" applyFill="1"/>
    <xf numFmtId="166" fontId="13" fillId="0" borderId="0" xfId="14" applyNumberFormat="1" applyFont="1" applyFill="1"/>
    <xf numFmtId="37" fontId="13" fillId="0" borderId="0" xfId="14" applyNumberFormat="1" applyFont="1" applyBorder="1" applyAlignment="1">
      <alignment horizontal="right"/>
    </xf>
    <xf numFmtId="37" fontId="13" fillId="0" borderId="8" xfId="14" applyNumberFormat="1" applyFont="1" applyBorder="1" applyAlignment="1">
      <alignment horizontal="right"/>
    </xf>
    <xf numFmtId="37" fontId="13" fillId="0" borderId="0" xfId="15" applyNumberFormat="1" applyFont="1" applyBorder="1" applyAlignment="1">
      <alignment horizontal="right"/>
    </xf>
    <xf numFmtId="37" fontId="12" fillId="0" borderId="0" xfId="14" applyNumberFormat="1" applyFont="1" applyBorder="1" applyAlignment="1">
      <alignment horizontal="right"/>
    </xf>
    <xf numFmtId="37" fontId="12" fillId="0" borderId="8" xfId="14" applyNumberFormat="1" applyFont="1" applyBorder="1" applyAlignment="1">
      <alignment horizontal="right"/>
    </xf>
    <xf numFmtId="37" fontId="13" fillId="0" borderId="6" xfId="14" applyNumberFormat="1" applyFont="1" applyBorder="1" applyAlignment="1">
      <alignment horizontal="right"/>
    </xf>
    <xf numFmtId="37" fontId="13" fillId="0" borderId="5" xfId="14" applyNumberFormat="1" applyFont="1" applyBorder="1" applyAlignment="1">
      <alignment horizontal="right"/>
    </xf>
    <xf numFmtId="0" fontId="16" fillId="2" borderId="0" xfId="0" applyFont="1" applyFill="1"/>
    <xf numFmtId="0" fontId="17" fillId="2" borderId="0" xfId="0" applyFont="1" applyFill="1"/>
    <xf numFmtId="0" fontId="16" fillId="2" borderId="0" xfId="0" applyFont="1" applyFill="1" applyBorder="1"/>
    <xf numFmtId="0" fontId="17" fillId="2" borderId="0" xfId="0" applyFont="1" applyFill="1" applyBorder="1"/>
    <xf numFmtId="0" fontId="17" fillId="2" borderId="0" xfId="0" applyFont="1" applyFill="1" applyBorder="1" applyAlignment="1">
      <alignment horizontal="center"/>
    </xf>
    <xf numFmtId="0" fontId="16" fillId="2" borderId="0" xfId="0" applyFont="1" applyFill="1" applyBorder="1" applyAlignment="1">
      <alignment horizontal="center"/>
    </xf>
    <xf numFmtId="0" fontId="16" fillId="2" borderId="0" xfId="0" applyFont="1" applyFill="1" applyAlignment="1">
      <alignment horizontal="center"/>
    </xf>
    <xf numFmtId="0" fontId="18" fillId="2" borderId="0" xfId="0" applyFont="1" applyFill="1" applyAlignment="1">
      <alignment horizontal="center"/>
    </xf>
    <xf numFmtId="0" fontId="19" fillId="2" borderId="0" xfId="0" applyFont="1" applyFill="1" applyBorder="1" applyAlignment="1">
      <alignment horizontal="center"/>
    </xf>
    <xf numFmtId="5" fontId="16" fillId="2" borderId="0" xfId="0" applyNumberFormat="1" applyFont="1" applyFill="1"/>
    <xf numFmtId="0" fontId="16" fillId="2" borderId="17" xfId="0" applyFont="1" applyFill="1" applyBorder="1"/>
    <xf numFmtId="0" fontId="16" fillId="2" borderId="10" xfId="0" applyFont="1" applyFill="1" applyBorder="1"/>
    <xf numFmtId="0" fontId="17" fillId="2" borderId="18" xfId="0" applyFont="1" applyFill="1" applyBorder="1"/>
    <xf numFmtId="5" fontId="16" fillId="2" borderId="0" xfId="0" applyNumberFormat="1" applyFont="1" applyFill="1" applyAlignment="1">
      <alignment horizontal="left" indent="1"/>
    </xf>
    <xf numFmtId="0" fontId="16" fillId="2" borderId="0" xfId="0" applyFont="1" applyFill="1" applyAlignment="1">
      <alignment horizontal="left" indent="1"/>
    </xf>
    <xf numFmtId="5" fontId="17" fillId="2" borderId="0" xfId="0" applyNumberFormat="1" applyFont="1" applyFill="1" applyBorder="1" applyAlignment="1">
      <alignment horizontal="center"/>
    </xf>
    <xf numFmtId="0" fontId="17" fillId="5" borderId="13" xfId="0" applyFont="1" applyFill="1" applyBorder="1" applyAlignment="1">
      <alignment horizontal="center"/>
    </xf>
    <xf numFmtId="0" fontId="17" fillId="6" borderId="13" xfId="0" applyFont="1" applyFill="1" applyBorder="1" applyAlignment="1">
      <alignment horizontal="center"/>
    </xf>
    <xf numFmtId="0" fontId="17" fillId="2" borderId="3" xfId="0" applyFont="1" applyFill="1" applyBorder="1"/>
    <xf numFmtId="0" fontId="17" fillId="2" borderId="3" xfId="0" applyFont="1" applyFill="1" applyBorder="1" applyAlignment="1">
      <alignment horizontal="center"/>
    </xf>
    <xf numFmtId="0" fontId="16" fillId="2" borderId="3" xfId="0" applyFont="1" applyFill="1" applyBorder="1" applyAlignment="1">
      <alignment horizontal="center"/>
    </xf>
    <xf numFmtId="0" fontId="17" fillId="5" borderId="23" xfId="0" applyFont="1" applyFill="1" applyBorder="1" applyAlignment="1">
      <alignment horizontal="center"/>
    </xf>
    <xf numFmtId="0" fontId="17" fillId="6" borderId="23" xfId="0" applyFont="1" applyFill="1" applyBorder="1" applyAlignment="1">
      <alignment horizontal="center"/>
    </xf>
    <xf numFmtId="0" fontId="16" fillId="0" borderId="0" xfId="0" applyFont="1" applyFill="1"/>
    <xf numFmtId="0" fontId="17" fillId="0" borderId="0" xfId="0" applyFont="1" applyFill="1"/>
    <xf numFmtId="43" fontId="16" fillId="2" borderId="0" xfId="19" applyFont="1" applyFill="1"/>
    <xf numFmtId="43" fontId="16" fillId="2" borderId="9" xfId="19" applyFont="1" applyFill="1" applyBorder="1"/>
    <xf numFmtId="43" fontId="16" fillId="0" borderId="0" xfId="19" applyFont="1" applyFill="1"/>
    <xf numFmtId="43" fontId="16" fillId="0" borderId="9" xfId="19" applyFont="1" applyFill="1" applyBorder="1"/>
    <xf numFmtId="0" fontId="17" fillId="0" borderId="23" xfId="0" applyFont="1" applyFill="1" applyBorder="1" applyAlignment="1">
      <alignment horizontal="center"/>
    </xf>
    <xf numFmtId="0" fontId="17" fillId="0" borderId="13" xfId="0" applyFont="1" applyFill="1" applyBorder="1" applyAlignment="1">
      <alignment horizontal="center"/>
    </xf>
    <xf numFmtId="0" fontId="16" fillId="0" borderId="0" xfId="0" applyFont="1" applyFill="1" applyAlignment="1">
      <alignment horizontal="center"/>
    </xf>
    <xf numFmtId="0" fontId="16" fillId="0" borderId="0" xfId="0" applyFont="1" applyFill="1" applyBorder="1" applyAlignment="1">
      <alignment horizontal="center"/>
    </xf>
    <xf numFmtId="0" fontId="17" fillId="4" borderId="3" xfId="0" applyFont="1" applyFill="1" applyBorder="1" applyAlignment="1">
      <alignment horizontal="center"/>
    </xf>
    <xf numFmtId="0" fontId="17" fillId="4" borderId="0" xfId="0" applyFont="1" applyFill="1" applyBorder="1" applyAlignment="1">
      <alignment horizontal="center"/>
    </xf>
    <xf numFmtId="0" fontId="17" fillId="4" borderId="0" xfId="0" applyFont="1" applyFill="1" applyAlignment="1">
      <alignment horizontal="center"/>
    </xf>
    <xf numFmtId="0" fontId="17" fillId="2" borderId="0" xfId="0" applyFont="1" applyFill="1" applyAlignment="1">
      <alignment horizontal="left" indent="1"/>
    </xf>
    <xf numFmtId="43" fontId="17" fillId="2" borderId="0" xfId="19" applyFont="1" applyFill="1"/>
    <xf numFmtId="0" fontId="18" fillId="2" borderId="0" xfId="0" applyFont="1" applyFill="1" applyBorder="1" applyAlignment="1">
      <alignment horizontal="center"/>
    </xf>
    <xf numFmtId="0" fontId="17" fillId="8" borderId="3" xfId="0" applyFont="1" applyFill="1" applyBorder="1" applyAlignment="1">
      <alignment horizontal="center"/>
    </xf>
    <xf numFmtId="0" fontId="17" fillId="8" borderId="0" xfId="0" applyFont="1" applyFill="1" applyAlignment="1">
      <alignment horizontal="center"/>
    </xf>
    <xf numFmtId="164" fontId="16" fillId="8" borderId="10" xfId="0" applyNumberFormat="1" applyFont="1" applyFill="1" applyBorder="1"/>
    <xf numFmtId="164" fontId="17" fillId="8" borderId="18" xfId="0" applyNumberFormat="1" applyFont="1" applyFill="1" applyBorder="1"/>
    <xf numFmtId="0" fontId="11" fillId="9" borderId="0" xfId="0" applyFont="1" applyFill="1"/>
    <xf numFmtId="0" fontId="11" fillId="9" borderId="14" xfId="0" applyFont="1" applyFill="1" applyBorder="1" applyAlignment="1">
      <alignment horizontal="center" wrapText="1"/>
    </xf>
    <xf numFmtId="164" fontId="13" fillId="10" borderId="0" xfId="0" applyNumberFormat="1" applyFont="1" applyFill="1" applyAlignment="1">
      <alignment horizontal="right"/>
    </xf>
    <xf numFmtId="164" fontId="11" fillId="9" borderId="15" xfId="0" applyNumberFormat="1" applyFont="1" applyFill="1" applyBorder="1" applyAlignment="1">
      <alignment horizontal="right"/>
    </xf>
    <xf numFmtId="0" fontId="17" fillId="8" borderId="0" xfId="0" applyFont="1" applyFill="1" applyBorder="1" applyAlignment="1">
      <alignment horizontal="center"/>
    </xf>
    <xf numFmtId="0" fontId="17" fillId="0" borderId="0" xfId="0" applyFont="1" applyFill="1" applyBorder="1"/>
    <xf numFmtId="0" fontId="16" fillId="2" borderId="17" xfId="0" applyNumberFormat="1" applyFont="1" applyFill="1" applyBorder="1" applyAlignment="1">
      <alignment horizontal="center"/>
    </xf>
    <xf numFmtId="0" fontId="16" fillId="2" borderId="10" xfId="0" applyNumberFormat="1" applyFont="1" applyFill="1" applyBorder="1" applyAlignment="1">
      <alignment horizontal="center"/>
    </xf>
    <xf numFmtId="164" fontId="16" fillId="8" borderId="9" xfId="0" applyNumberFormat="1" applyFont="1" applyFill="1" applyBorder="1"/>
    <xf numFmtId="0" fontId="19" fillId="8" borderId="6" xfId="0" applyFont="1" applyFill="1" applyBorder="1" applyAlignment="1">
      <alignment horizontal="center"/>
    </xf>
    <xf numFmtId="0" fontId="14" fillId="0" borderId="0" xfId="6" applyFont="1" applyFill="1" applyAlignment="1"/>
    <xf numFmtId="0" fontId="12" fillId="0" borderId="0" xfId="6" applyFont="1" applyFill="1" applyAlignment="1"/>
    <xf numFmtId="6" fontId="13" fillId="0" borderId="25" xfId="3" applyNumberFormat="1" applyFont="1" applyBorder="1"/>
    <xf numFmtId="6" fontId="13" fillId="0" borderId="35" xfId="3" applyNumberFormat="1" applyFont="1" applyBorder="1"/>
    <xf numFmtId="6" fontId="13" fillId="0" borderId="26" xfId="3" applyNumberFormat="1" applyFont="1" applyBorder="1"/>
    <xf numFmtId="6" fontId="13" fillId="0" borderId="27" xfId="3" applyNumberFormat="1" applyFont="1" applyBorder="1"/>
    <xf numFmtId="43" fontId="13" fillId="0" borderId="0" xfId="22" applyFont="1"/>
    <xf numFmtId="6" fontId="12" fillId="0" borderId="25" xfId="3" applyNumberFormat="1" applyFont="1" applyBorder="1"/>
    <xf numFmtId="6" fontId="12" fillId="0" borderId="35" xfId="3" applyNumberFormat="1" applyFont="1" applyBorder="1"/>
    <xf numFmtId="6" fontId="12" fillId="0" borderId="26" xfId="3" applyNumberFormat="1" applyFont="1" applyBorder="1"/>
    <xf numFmtId="6" fontId="12" fillId="0" borderId="27" xfId="3" applyNumberFormat="1" applyFont="1" applyBorder="1"/>
    <xf numFmtId="6" fontId="12" fillId="0" borderId="18" xfId="3" applyNumberFormat="1" applyFont="1" applyBorder="1"/>
    <xf numFmtId="43" fontId="13" fillId="0" borderId="0" xfId="23" applyFont="1" applyFill="1" applyBorder="1"/>
    <xf numFmtId="43" fontId="13" fillId="0" borderId="9" xfId="23" applyFont="1" applyFill="1" applyBorder="1"/>
    <xf numFmtId="43" fontId="13" fillId="0" borderId="9" xfId="22" applyFont="1" applyBorder="1"/>
    <xf numFmtId="43" fontId="13" fillId="0" borderId="0" xfId="22" applyFont="1" applyBorder="1"/>
    <xf numFmtId="165" fontId="13" fillId="0" borderId="0" xfId="22" applyNumberFormat="1" applyFont="1" applyFill="1" applyBorder="1"/>
    <xf numFmtId="165" fontId="13" fillId="0" borderId="0" xfId="22" applyNumberFormat="1" applyFont="1"/>
    <xf numFmtId="0" fontId="14" fillId="2" borderId="0" xfId="0" applyFont="1" applyFill="1" applyAlignment="1"/>
    <xf numFmtId="0" fontId="17" fillId="2" borderId="0" xfId="0" applyFont="1" applyFill="1" applyAlignment="1"/>
    <xf numFmtId="0" fontId="17" fillId="2" borderId="0" xfId="0" applyFont="1" applyFill="1" applyBorder="1" applyAlignment="1"/>
    <xf numFmtId="0" fontId="14" fillId="0" borderId="0" xfId="14" applyFont="1" applyBorder="1" applyAlignment="1"/>
    <xf numFmtId="0" fontId="12" fillId="0" borderId="0" xfId="14" applyFont="1" applyBorder="1" applyAlignment="1"/>
    <xf numFmtId="10" fontId="13" fillId="0" borderId="0" xfId="15" applyNumberFormat="1" applyFont="1" applyBorder="1" applyAlignment="1">
      <alignment horizontal="right"/>
    </xf>
    <xf numFmtId="37" fontId="13" fillId="0" borderId="0" xfId="6" applyNumberFormat="1" applyFont="1" applyFill="1" applyBorder="1" applyAlignment="1">
      <alignment horizontal="right"/>
    </xf>
    <xf numFmtId="37" fontId="13" fillId="0" borderId="0" xfId="14" applyNumberFormat="1" applyFont="1" applyFill="1" applyBorder="1" applyAlignment="1">
      <alignment horizontal="right"/>
    </xf>
    <xf numFmtId="37" fontId="13" fillId="0" borderId="8" xfId="14" applyNumberFormat="1" applyFont="1" applyFill="1" applyBorder="1" applyAlignment="1">
      <alignment horizontal="right"/>
    </xf>
    <xf numFmtId="0" fontId="13" fillId="0" borderId="7" xfId="14" applyFont="1" applyBorder="1" applyAlignment="1">
      <alignment horizontal="left" indent="2"/>
    </xf>
    <xf numFmtId="37" fontId="12" fillId="0" borderId="0" xfId="15" applyNumberFormat="1" applyFont="1" applyFill="1" applyBorder="1" applyAlignment="1">
      <alignment horizontal="right"/>
    </xf>
    <xf numFmtId="37" fontId="12" fillId="0" borderId="8" xfId="15" applyNumberFormat="1" applyFont="1" applyFill="1" applyBorder="1" applyAlignment="1">
      <alignment horizontal="right"/>
    </xf>
    <xf numFmtId="0" fontId="13" fillId="0" borderId="7" xfId="14" applyFont="1" applyFill="1" applyBorder="1"/>
    <xf numFmtId="37" fontId="13" fillId="0" borderId="0" xfId="15" applyNumberFormat="1" applyFont="1" applyFill="1" applyBorder="1" applyAlignment="1">
      <alignment horizontal="right"/>
    </xf>
    <xf numFmtId="0" fontId="25" fillId="0" borderId="0" xfId="14" applyFont="1"/>
    <xf numFmtId="0" fontId="19" fillId="6" borderId="19" xfId="0" applyFont="1" applyFill="1" applyBorder="1" applyAlignment="1">
      <alignment horizontal="center"/>
    </xf>
    <xf numFmtId="37" fontId="12" fillId="7" borderId="0" xfId="14" applyNumberFormat="1" applyFont="1" applyFill="1" applyBorder="1" applyAlignment="1">
      <alignment horizontal="right"/>
    </xf>
    <xf numFmtId="0" fontId="13" fillId="0" borderId="4" xfId="14" applyFont="1" applyBorder="1" applyAlignment="1">
      <alignment horizontal="left" indent="2"/>
    </xf>
    <xf numFmtId="0" fontId="13" fillId="0" borderId="43" xfId="14" applyFont="1" applyBorder="1"/>
    <xf numFmtId="37" fontId="13" fillId="0" borderId="9" xfId="14" applyNumberFormat="1" applyFont="1" applyBorder="1" applyAlignment="1">
      <alignment horizontal="right"/>
    </xf>
    <xf numFmtId="37" fontId="13" fillId="0" borderId="16" xfId="14" applyNumberFormat="1" applyFont="1" applyBorder="1" applyAlignment="1">
      <alignment horizontal="right"/>
    </xf>
    <xf numFmtId="0" fontId="13" fillId="0" borderId="45" xfId="14" applyFont="1" applyBorder="1"/>
    <xf numFmtId="37" fontId="13" fillId="0" borderId="45" xfId="14" applyNumberFormat="1" applyFont="1" applyBorder="1" applyAlignment="1">
      <alignment horizontal="right"/>
    </xf>
    <xf numFmtId="37" fontId="13" fillId="0" borderId="45" xfId="15" applyNumberFormat="1" applyFont="1" applyBorder="1" applyAlignment="1">
      <alignment horizontal="right"/>
    </xf>
    <xf numFmtId="37" fontId="12" fillId="0" borderId="45" xfId="14" applyNumberFormat="1" applyFont="1" applyBorder="1" applyAlignment="1">
      <alignment horizontal="right"/>
    </xf>
    <xf numFmtId="37" fontId="13" fillId="0" borderId="45" xfId="15" applyNumberFormat="1" applyFont="1" applyFill="1" applyBorder="1" applyAlignment="1">
      <alignment horizontal="right"/>
    </xf>
    <xf numFmtId="37" fontId="13" fillId="0" borderId="46" xfId="14" applyNumberFormat="1" applyFont="1" applyBorder="1" applyAlignment="1">
      <alignment horizontal="right"/>
    </xf>
    <xf numFmtId="37" fontId="13" fillId="0" borderId="45" xfId="14" applyNumberFormat="1" applyFont="1" applyFill="1" applyBorder="1" applyAlignment="1">
      <alignment horizontal="right"/>
    </xf>
    <xf numFmtId="37" fontId="12" fillId="7" borderId="45" xfId="14" applyNumberFormat="1" applyFont="1" applyFill="1" applyBorder="1" applyAlignment="1">
      <alignment horizontal="right"/>
    </xf>
    <xf numFmtId="43" fontId="12" fillId="0" borderId="0" xfId="22" applyFont="1"/>
    <xf numFmtId="0" fontId="13" fillId="0" borderId="0" xfId="14" applyFont="1" applyAlignment="1">
      <alignment horizontal="left" indent="2"/>
    </xf>
    <xf numFmtId="0" fontId="12" fillId="0" borderId="7" xfId="14" applyFont="1" applyBorder="1" applyAlignment="1">
      <alignment horizontal="center"/>
    </xf>
    <xf numFmtId="0" fontId="12" fillId="0" borderId="44" xfId="14" applyFont="1" applyBorder="1" applyAlignment="1">
      <alignment horizontal="center"/>
    </xf>
    <xf numFmtId="0" fontId="12" fillId="0" borderId="3" xfId="14" applyFont="1" applyBorder="1" applyAlignment="1">
      <alignment horizontal="center"/>
    </xf>
    <xf numFmtId="0" fontId="12" fillId="0" borderId="2" xfId="14" applyFont="1" applyBorder="1" applyAlignment="1">
      <alignment horizontal="center"/>
    </xf>
    <xf numFmtId="0" fontId="12" fillId="0" borderId="45" xfId="14" applyFont="1" applyBorder="1" applyAlignment="1">
      <alignment horizontal="center"/>
    </xf>
    <xf numFmtId="0" fontId="12" fillId="0" borderId="0" xfId="14" applyFont="1" applyBorder="1" applyAlignment="1">
      <alignment horizontal="center"/>
    </xf>
    <xf numFmtId="0" fontId="12" fillId="0" borderId="8" xfId="14" applyFont="1" applyBorder="1" applyAlignment="1">
      <alignment horizontal="center"/>
    </xf>
    <xf numFmtId="0" fontId="12" fillId="0" borderId="43" xfId="14" applyFont="1" applyBorder="1" applyAlignment="1">
      <alignment vertical="top"/>
    </xf>
    <xf numFmtId="0" fontId="12" fillId="0" borderId="46" xfId="14" applyFont="1" applyBorder="1" applyAlignment="1">
      <alignment horizontal="center" vertical="top"/>
    </xf>
    <xf numFmtId="0" fontId="12" fillId="0" borderId="9" xfId="14" applyFont="1" applyBorder="1" applyAlignment="1">
      <alignment horizontal="center" vertical="top"/>
    </xf>
    <xf numFmtId="0" fontId="12" fillId="0" borderId="16" xfId="14" applyFont="1" applyBorder="1" applyAlignment="1">
      <alignment horizontal="center" vertical="top"/>
    </xf>
    <xf numFmtId="0" fontId="13" fillId="0" borderId="0" xfId="14" applyFont="1" applyAlignment="1">
      <alignment vertical="top"/>
    </xf>
    <xf numFmtId="0" fontId="12" fillId="7" borderId="7" xfId="14" applyFont="1" applyFill="1" applyBorder="1"/>
    <xf numFmtId="37" fontId="13" fillId="7" borderId="45" xfId="14" applyNumberFormat="1" applyFont="1" applyFill="1" applyBorder="1" applyAlignment="1">
      <alignment horizontal="right"/>
    </xf>
    <xf numFmtId="37" fontId="13" fillId="7" borderId="0" xfId="14" applyNumberFormat="1" applyFont="1" applyFill="1" applyBorder="1" applyAlignment="1">
      <alignment horizontal="right"/>
    </xf>
    <xf numFmtId="37" fontId="13" fillId="7" borderId="8" xfId="14" applyNumberFormat="1" applyFont="1" applyFill="1" applyBorder="1" applyAlignment="1">
      <alignment horizontal="right"/>
    </xf>
    <xf numFmtId="37" fontId="13" fillId="7" borderId="0" xfId="6" applyNumberFormat="1" applyFont="1" applyFill="1" applyBorder="1" applyAlignment="1">
      <alignment horizontal="right"/>
    </xf>
    <xf numFmtId="37" fontId="12" fillId="7" borderId="8" xfId="15" applyNumberFormat="1" applyFont="1" applyFill="1" applyBorder="1" applyAlignment="1">
      <alignment horizontal="right"/>
    </xf>
    <xf numFmtId="0" fontId="13" fillId="7" borderId="7" xfId="14" applyFont="1" applyFill="1" applyBorder="1" applyAlignment="1">
      <alignment horizontal="left" indent="2"/>
    </xf>
    <xf numFmtId="37" fontId="12" fillId="7" borderId="8" xfId="14" applyNumberFormat="1" applyFont="1" applyFill="1" applyBorder="1" applyAlignment="1">
      <alignment horizontal="right"/>
    </xf>
    <xf numFmtId="43" fontId="13" fillId="0" borderId="8" xfId="19" applyFont="1" applyBorder="1"/>
    <xf numFmtId="43" fontId="13" fillId="0" borderId="8" xfId="19" applyFont="1" applyBorder="1" applyAlignment="1">
      <alignment horizontal="right"/>
    </xf>
    <xf numFmtId="43" fontId="13" fillId="0" borderId="5" xfId="19" applyFont="1" applyBorder="1"/>
    <xf numFmtId="37" fontId="12" fillId="0" borderId="0" xfId="14" applyNumberFormat="1" applyFont="1" applyBorder="1" applyAlignment="1"/>
    <xf numFmtId="0" fontId="27" fillId="0" borderId="0" xfId="0" applyFont="1" applyBorder="1" applyAlignment="1">
      <alignment horizontal="center" wrapText="1"/>
    </xf>
    <xf numFmtId="0" fontId="27" fillId="0" borderId="0" xfId="0" applyNumberFormat="1" applyFont="1" applyBorder="1" applyAlignment="1">
      <alignment horizontal="center" wrapText="1"/>
    </xf>
    <xf numFmtId="0" fontId="0" fillId="0" borderId="0" xfId="0" applyBorder="1"/>
    <xf numFmtId="0" fontId="28" fillId="0" borderId="0" xfId="24" applyFont="1" applyFill="1" applyBorder="1" applyAlignment="1">
      <alignment horizontal="left" wrapText="1"/>
    </xf>
    <xf numFmtId="3" fontId="0" fillId="0" borderId="0" xfId="0" applyNumberFormat="1" applyBorder="1"/>
    <xf numFmtId="0" fontId="0" fillId="0" borderId="49" xfId="0" applyBorder="1"/>
    <xf numFmtId="0" fontId="28" fillId="0" borderId="48" xfId="24" applyFont="1" applyFill="1" applyBorder="1" applyAlignment="1">
      <alignment horizontal="left" wrapText="1"/>
    </xf>
    <xf numFmtId="3" fontId="0" fillId="0" borderId="48" xfId="0" applyNumberFormat="1" applyBorder="1"/>
    <xf numFmtId="3" fontId="0" fillId="0" borderId="50" xfId="0" applyNumberFormat="1" applyBorder="1"/>
    <xf numFmtId="0" fontId="13" fillId="0" borderId="0" xfId="0" pivotButton="1" applyFont="1"/>
    <xf numFmtId="41" fontId="13" fillId="0" borderId="0" xfId="0" applyNumberFormat="1" applyFont="1"/>
    <xf numFmtId="5" fontId="16" fillId="0" borderId="9" xfId="0" applyNumberFormat="1" applyFont="1" applyFill="1" applyBorder="1"/>
    <xf numFmtId="3" fontId="16" fillId="0" borderId="9" xfId="0" applyNumberFormat="1" applyFont="1" applyFill="1" applyBorder="1"/>
    <xf numFmtId="167" fontId="16" fillId="0" borderId="9" xfId="0" applyNumberFormat="1" applyFont="1" applyFill="1" applyBorder="1"/>
    <xf numFmtId="0" fontId="16" fillId="0" borderId="9" xfId="0" applyFont="1" applyFill="1" applyBorder="1"/>
    <xf numFmtId="0" fontId="16" fillId="0" borderId="9" xfId="0" applyFont="1" applyFill="1" applyBorder="1" applyAlignment="1">
      <alignment horizontal="center"/>
    </xf>
    <xf numFmtId="5" fontId="16" fillId="0" borderId="0" xfId="0" applyNumberFormat="1" applyFont="1" applyFill="1"/>
    <xf numFmtId="3" fontId="16" fillId="0" borderId="0" xfId="0" applyNumberFormat="1" applyFont="1" applyFill="1"/>
    <xf numFmtId="167" fontId="16" fillId="0" borderId="0" xfId="0" applyNumberFormat="1" applyFont="1" applyFill="1"/>
    <xf numFmtId="0" fontId="16" fillId="0" borderId="6" xfId="0" applyFont="1" applyFill="1" applyBorder="1" applyAlignment="1">
      <alignment horizontal="center"/>
    </xf>
    <xf numFmtId="0" fontId="16" fillId="0" borderId="6" xfId="0" applyFont="1" applyFill="1" applyBorder="1"/>
    <xf numFmtId="3" fontId="16" fillId="0" borderId="6" xfId="0" applyNumberFormat="1" applyFont="1" applyFill="1" applyBorder="1"/>
    <xf numFmtId="5" fontId="16" fillId="0" borderId="6" xfId="0" applyNumberFormat="1" applyFont="1" applyFill="1" applyBorder="1"/>
    <xf numFmtId="0" fontId="17" fillId="0" borderId="0" xfId="0" applyFont="1" applyFill="1" applyAlignment="1">
      <alignment horizontal="center"/>
    </xf>
    <xf numFmtId="0" fontId="17" fillId="0" borderId="0" xfId="0" applyFont="1" applyFill="1" applyBorder="1" applyAlignment="1"/>
    <xf numFmtId="0" fontId="17" fillId="0" borderId="0" xfId="0" quotePrefix="1" applyFont="1" applyFill="1" applyBorder="1" applyAlignment="1"/>
    <xf numFmtId="5" fontId="17" fillId="0" borderId="0" xfId="0" applyNumberFormat="1" applyFont="1" applyFill="1"/>
    <xf numFmtId="3" fontId="17" fillId="0" borderId="0" xfId="0" applyNumberFormat="1" applyFont="1" applyFill="1"/>
    <xf numFmtId="167" fontId="17" fillId="0" borderId="0" xfId="0" applyNumberFormat="1" applyFont="1" applyFill="1"/>
    <xf numFmtId="0" fontId="16" fillId="0" borderId="0" xfId="0" applyFont="1" applyFill="1" applyBorder="1"/>
    <xf numFmtId="3" fontId="16" fillId="0" borderId="0" xfId="0" applyNumberFormat="1" applyFont="1" applyFill="1" applyBorder="1"/>
    <xf numFmtId="5" fontId="16" fillId="0" borderId="0" xfId="0" applyNumberFormat="1" applyFont="1" applyFill="1" applyBorder="1"/>
    <xf numFmtId="0" fontId="16" fillId="0" borderId="0" xfId="0" applyFont="1" applyFill="1" applyAlignment="1">
      <alignment horizontal="right"/>
    </xf>
    <xf numFmtId="0" fontId="16" fillId="0" borderId="44" xfId="0" applyFont="1" applyFill="1" applyBorder="1"/>
    <xf numFmtId="5" fontId="16" fillId="0" borderId="46" xfId="0" applyNumberFormat="1" applyFont="1" applyFill="1" applyBorder="1"/>
    <xf numFmtId="5" fontId="16" fillId="0" borderId="45" xfId="0" applyNumberFormat="1" applyFont="1" applyFill="1" applyBorder="1"/>
    <xf numFmtId="5" fontId="17" fillId="0" borderId="45" xfId="0" applyNumberFormat="1" applyFont="1" applyFill="1" applyBorder="1"/>
    <xf numFmtId="5" fontId="16" fillId="0" borderId="47" xfId="0" applyNumberFormat="1" applyFont="1" applyFill="1" applyBorder="1"/>
    <xf numFmtId="0" fontId="16" fillId="0" borderId="3" xfId="0" applyFont="1" applyFill="1" applyBorder="1"/>
    <xf numFmtId="5" fontId="17" fillId="0" borderId="0" xfId="0" applyNumberFormat="1" applyFont="1" applyFill="1" applyBorder="1"/>
    <xf numFmtId="0" fontId="16" fillId="0" borderId="51" xfId="0" applyFont="1" applyFill="1" applyBorder="1"/>
    <xf numFmtId="5" fontId="16" fillId="0" borderId="52" xfId="0" applyNumberFormat="1" applyFont="1" applyFill="1" applyBorder="1"/>
    <xf numFmtId="5" fontId="16" fillId="0" borderId="53" xfId="0" applyNumberFormat="1" applyFont="1" applyFill="1" applyBorder="1"/>
    <xf numFmtId="5" fontId="17" fillId="0" borderId="53" xfId="0" applyNumberFormat="1" applyFont="1" applyFill="1" applyBorder="1"/>
    <xf numFmtId="5" fontId="16" fillId="0" borderId="54" xfId="0" applyNumberFormat="1" applyFont="1" applyFill="1" applyBorder="1"/>
    <xf numFmtId="0" fontId="12" fillId="0" borderId="3" xfId="0" applyFont="1" applyFill="1" applyBorder="1" applyAlignment="1">
      <alignment horizontal="center"/>
    </xf>
    <xf numFmtId="0" fontId="12" fillId="0" borderId="0" xfId="0" applyFont="1" applyFill="1"/>
    <xf numFmtId="0" fontId="12" fillId="0" borderId="0" xfId="0" applyFont="1" applyFill="1" applyAlignment="1">
      <alignment horizontal="center"/>
    </xf>
    <xf numFmtId="0" fontId="12" fillId="0" borderId="6" xfId="0" applyFont="1" applyFill="1" applyBorder="1" applyAlignment="1">
      <alignment horizontal="center"/>
    </xf>
    <xf numFmtId="7" fontId="17" fillId="2" borderId="0" xfId="0" applyNumberFormat="1" applyFont="1" applyFill="1" applyBorder="1" applyAlignment="1"/>
    <xf numFmtId="7" fontId="16" fillId="2" borderId="0" xfId="0" applyNumberFormat="1" applyFont="1" applyFill="1" applyBorder="1"/>
    <xf numFmtId="37" fontId="13" fillId="0" borderId="47" xfId="15" applyNumberFormat="1" applyFont="1" applyBorder="1" applyAlignment="1">
      <alignment horizontal="right"/>
    </xf>
    <xf numFmtId="0" fontId="14" fillId="11" borderId="0" xfId="6" applyFont="1" applyFill="1" applyAlignment="1"/>
    <xf numFmtId="0" fontId="13" fillId="11" borderId="0" xfId="6" applyFont="1" applyFill="1"/>
    <xf numFmtId="0" fontId="12" fillId="11" borderId="0" xfId="6" applyFont="1" applyFill="1" applyAlignment="1"/>
    <xf numFmtId="0" fontId="12" fillId="11" borderId="0" xfId="6" applyFont="1" applyFill="1" applyAlignment="1">
      <alignment horizontal="center"/>
    </xf>
    <xf numFmtId="0" fontId="12" fillId="11" borderId="3" xfId="6" applyFont="1" applyFill="1" applyBorder="1" applyAlignment="1">
      <alignment horizontal="center"/>
    </xf>
    <xf numFmtId="0" fontId="12" fillId="4" borderId="3" xfId="6" applyFont="1" applyFill="1" applyBorder="1" applyAlignment="1">
      <alignment horizontal="center"/>
    </xf>
    <xf numFmtId="0" fontId="12" fillId="12" borderId="23" xfId="6" applyFont="1" applyFill="1" applyBorder="1" applyAlignment="1">
      <alignment horizontal="center"/>
    </xf>
    <xf numFmtId="0" fontId="12" fillId="7" borderId="23" xfId="6" applyFont="1" applyFill="1" applyBorder="1" applyAlignment="1">
      <alignment horizontal="center"/>
    </xf>
    <xf numFmtId="0" fontId="12" fillId="11" borderId="0" xfId="6" applyFont="1" applyFill="1" applyBorder="1"/>
    <xf numFmtId="0" fontId="12" fillId="11" borderId="0" xfId="6" applyFont="1" applyFill="1"/>
    <xf numFmtId="0" fontId="12" fillId="11" borderId="0" xfId="6" applyFont="1" applyFill="1" applyBorder="1" applyAlignment="1">
      <alignment horizontal="center"/>
    </xf>
    <xf numFmtId="0" fontId="12" fillId="4" borderId="0" xfId="6" applyFont="1" applyFill="1" applyBorder="1" applyAlignment="1">
      <alignment horizontal="center"/>
    </xf>
    <xf numFmtId="5" fontId="12" fillId="11" borderId="0" xfId="6" applyNumberFormat="1" applyFont="1" applyFill="1" applyBorder="1" applyAlignment="1">
      <alignment horizontal="center"/>
    </xf>
    <xf numFmtId="5" fontId="12" fillId="12" borderId="13" xfId="6" applyNumberFormat="1" applyFont="1" applyFill="1" applyBorder="1" applyAlignment="1">
      <alignment horizontal="center"/>
    </xf>
    <xf numFmtId="5" fontId="12" fillId="7" borderId="13" xfId="6" applyNumberFormat="1" applyFont="1" applyFill="1" applyBorder="1" applyAlignment="1">
      <alignment horizontal="center"/>
    </xf>
    <xf numFmtId="0" fontId="12" fillId="12" borderId="13" xfId="6" applyFont="1" applyFill="1" applyBorder="1" applyAlignment="1">
      <alignment horizontal="center"/>
    </xf>
    <xf numFmtId="0" fontId="12" fillId="7" borderId="13" xfId="6" applyFont="1" applyFill="1" applyBorder="1" applyAlignment="1">
      <alignment horizontal="center"/>
    </xf>
    <xf numFmtId="0" fontId="12" fillId="11" borderId="6" xfId="6" applyFont="1" applyFill="1" applyBorder="1" applyAlignment="1">
      <alignment horizontal="center"/>
    </xf>
    <xf numFmtId="0" fontId="12" fillId="4" borderId="6" xfId="6" applyFont="1" applyFill="1" applyBorder="1" applyAlignment="1">
      <alignment horizontal="center"/>
    </xf>
    <xf numFmtId="0" fontId="12" fillId="12" borderId="19" xfId="6" applyFont="1" applyFill="1" applyBorder="1" applyAlignment="1">
      <alignment horizontal="center"/>
    </xf>
    <xf numFmtId="0" fontId="12" fillId="7" borderId="19" xfId="6" applyFont="1" applyFill="1" applyBorder="1" applyAlignment="1">
      <alignment horizontal="center"/>
    </xf>
    <xf numFmtId="0" fontId="13" fillId="11" borderId="9" xfId="6" applyNumberFormat="1" applyFont="1" applyFill="1" applyBorder="1" applyAlignment="1">
      <alignment horizontal="left" indent="1"/>
    </xf>
    <xf numFmtId="3" fontId="13" fillId="11" borderId="9" xfId="6" applyNumberFormat="1" applyFont="1" applyFill="1" applyBorder="1"/>
    <xf numFmtId="167" fontId="13" fillId="11" borderId="9" xfId="6" applyNumberFormat="1" applyFont="1" applyFill="1" applyBorder="1"/>
    <xf numFmtId="0" fontId="13" fillId="11" borderId="9" xfId="6" applyFont="1" applyFill="1" applyBorder="1"/>
    <xf numFmtId="0" fontId="12" fillId="11" borderId="6" xfId="6" applyFont="1" applyFill="1" applyBorder="1"/>
    <xf numFmtId="3" fontId="12" fillId="11" borderId="6" xfId="6" applyNumberFormat="1" applyFont="1" applyFill="1" applyBorder="1"/>
    <xf numFmtId="167" fontId="12" fillId="11" borderId="6" xfId="6" applyNumberFormat="1" applyFont="1" applyFill="1" applyBorder="1"/>
    <xf numFmtId="5" fontId="12" fillId="11" borderId="0" xfId="6" applyNumberFormat="1" applyFont="1" applyFill="1"/>
    <xf numFmtId="3" fontId="12" fillId="11" borderId="0" xfId="6" applyNumberFormat="1" applyFont="1" applyFill="1"/>
    <xf numFmtId="167" fontId="12" fillId="11" borderId="0" xfId="6" applyNumberFormat="1" applyFont="1" applyFill="1"/>
    <xf numFmtId="5" fontId="12" fillId="11" borderId="0" xfId="6" applyNumberFormat="1" applyFont="1" applyFill="1" applyBorder="1"/>
    <xf numFmtId="0" fontId="12" fillId="11" borderId="0" xfId="6" applyFont="1" applyFill="1" applyAlignment="1">
      <alignment horizontal="right"/>
    </xf>
    <xf numFmtId="167" fontId="13" fillId="11" borderId="0" xfId="6" applyNumberFormat="1" applyFont="1" applyFill="1"/>
    <xf numFmtId="43" fontId="13" fillId="11" borderId="0" xfId="27" applyFont="1" applyFill="1"/>
    <xf numFmtId="43" fontId="12" fillId="11" borderId="0" xfId="6" applyNumberFormat="1" applyFont="1" applyFill="1" applyBorder="1"/>
    <xf numFmtId="43" fontId="13" fillId="11" borderId="9" xfId="27" applyFont="1" applyFill="1" applyBorder="1"/>
    <xf numFmtId="5" fontId="13" fillId="11" borderId="0" xfId="6" applyNumberFormat="1" applyFont="1" applyFill="1"/>
    <xf numFmtId="10" fontId="13" fillId="0" borderId="45" xfId="28" applyNumberFormat="1" applyFont="1" applyFill="1" applyBorder="1" applyAlignment="1">
      <alignment horizontal="right"/>
    </xf>
    <xf numFmtId="10" fontId="13" fillId="0" borderId="53" xfId="28" applyNumberFormat="1" applyFont="1" applyFill="1" applyBorder="1" applyAlignment="1">
      <alignment horizontal="right"/>
    </xf>
    <xf numFmtId="10" fontId="13" fillId="0" borderId="0" xfId="28" applyNumberFormat="1" applyFont="1" applyFill="1" applyBorder="1" applyAlignment="1">
      <alignment horizontal="right"/>
    </xf>
    <xf numFmtId="10" fontId="13" fillId="0" borderId="8" xfId="28" applyNumberFormat="1" applyFont="1" applyFill="1" applyBorder="1" applyAlignment="1">
      <alignment horizontal="right"/>
    </xf>
    <xf numFmtId="0" fontId="13" fillId="7" borderId="7" xfId="14" applyFont="1" applyFill="1" applyBorder="1"/>
    <xf numFmtId="8" fontId="16" fillId="2" borderId="10" xfId="19" applyNumberFormat="1" applyFont="1" applyFill="1" applyBorder="1"/>
    <xf numFmtId="8" fontId="16" fillId="2" borderId="17" xfId="19" applyNumberFormat="1" applyFont="1" applyFill="1" applyBorder="1"/>
    <xf numFmtId="8" fontId="16" fillId="5" borderId="20" xfId="19" applyNumberFormat="1" applyFont="1" applyFill="1" applyBorder="1"/>
    <xf numFmtId="8" fontId="16" fillId="6" borderId="24" xfId="19" applyNumberFormat="1" applyFont="1" applyFill="1" applyBorder="1"/>
    <xf numFmtId="8" fontId="16" fillId="0" borderId="20" xfId="19" applyNumberFormat="1" applyFont="1" applyFill="1" applyBorder="1"/>
    <xf numFmtId="8" fontId="16" fillId="4" borderId="17" xfId="19" applyNumberFormat="1" applyFont="1" applyFill="1" applyBorder="1"/>
    <xf numFmtId="8" fontId="16" fillId="5" borderId="21" xfId="19" applyNumberFormat="1" applyFont="1" applyFill="1" applyBorder="1"/>
    <xf numFmtId="8" fontId="16" fillId="0" borderId="21" xfId="19" applyNumberFormat="1" applyFont="1" applyFill="1" applyBorder="1"/>
    <xf numFmtId="8" fontId="16" fillId="4" borderId="10" xfId="19" applyNumberFormat="1" applyFont="1" applyFill="1" applyBorder="1"/>
    <xf numFmtId="8" fontId="16" fillId="0" borderId="10" xfId="19" applyNumberFormat="1" applyFont="1" applyFill="1" applyBorder="1"/>
    <xf numFmtId="8" fontId="17" fillId="2" borderId="18" xfId="19" applyNumberFormat="1" applyFont="1" applyFill="1" applyBorder="1"/>
    <xf numFmtId="8" fontId="17" fillId="5" borderId="22" xfId="19" applyNumberFormat="1" applyFont="1" applyFill="1" applyBorder="1"/>
    <xf numFmtId="8" fontId="17" fillId="6" borderId="22" xfId="19" applyNumberFormat="1" applyFont="1" applyFill="1" applyBorder="1"/>
    <xf numFmtId="8" fontId="17" fillId="0" borderId="22" xfId="19" applyNumberFormat="1" applyFont="1" applyFill="1" applyBorder="1"/>
    <xf numFmtId="8" fontId="17" fillId="4" borderId="18" xfId="19" applyNumberFormat="1" applyFont="1" applyFill="1" applyBorder="1"/>
    <xf numFmtId="6" fontId="12" fillId="4" borderId="6" xfId="6" applyNumberFormat="1" applyFont="1" applyFill="1" applyBorder="1"/>
    <xf numFmtId="6" fontId="13" fillId="11" borderId="9" xfId="6" applyNumberFormat="1" applyFont="1" applyFill="1" applyBorder="1"/>
    <xf numFmtId="6" fontId="12" fillId="11" borderId="6" xfId="6" applyNumberFormat="1" applyFont="1" applyFill="1" applyBorder="1"/>
    <xf numFmtId="6" fontId="13" fillId="12" borderId="24" xfId="6" applyNumberFormat="1" applyFont="1" applyFill="1" applyBorder="1"/>
    <xf numFmtId="6" fontId="13" fillId="7" borderId="24" xfId="6" applyNumberFormat="1" applyFont="1" applyFill="1" applyBorder="1"/>
    <xf numFmtId="6" fontId="12" fillId="12" borderId="19" xfId="6" applyNumberFormat="1" applyFont="1" applyFill="1" applyBorder="1"/>
    <xf numFmtId="6" fontId="12" fillId="7" borderId="19" xfId="6" applyNumberFormat="1" applyFont="1" applyFill="1" applyBorder="1"/>
    <xf numFmtId="6" fontId="12" fillId="11" borderId="0" xfId="6" applyNumberFormat="1" applyFont="1" applyFill="1"/>
    <xf numFmtId="6" fontId="12" fillId="11" borderId="0" xfId="6" applyNumberFormat="1" applyFont="1" applyFill="1" applyBorder="1"/>
    <xf numFmtId="5" fontId="13" fillId="4" borderId="9" xfId="6" applyNumberFormat="1" applyFont="1" applyFill="1" applyBorder="1"/>
    <xf numFmtId="5" fontId="13" fillId="4" borderId="9" xfId="6" applyNumberFormat="1" applyFont="1" applyFill="1" applyBorder="1"/>
    <xf numFmtId="0" fontId="17" fillId="2" borderId="0" xfId="26" applyFont="1" applyFill="1" applyBorder="1" applyAlignment="1">
      <alignment horizontal="center"/>
    </xf>
    <xf numFmtId="5" fontId="17" fillId="2" borderId="0" xfId="26" applyNumberFormat="1" applyFont="1" applyFill="1" applyBorder="1" applyAlignment="1">
      <alignment horizontal="center"/>
    </xf>
    <xf numFmtId="0" fontId="18" fillId="2" borderId="0" xfId="26" applyFont="1" applyFill="1" applyBorder="1" applyAlignment="1">
      <alignment horizontal="center"/>
    </xf>
    <xf numFmtId="0" fontId="18" fillId="2" borderId="0" xfId="26" applyFont="1" applyFill="1" applyAlignment="1">
      <alignment horizontal="center"/>
    </xf>
    <xf numFmtId="5" fontId="16" fillId="2" borderId="0" xfId="26" applyNumberFormat="1" applyFont="1" applyFill="1" applyAlignment="1">
      <alignment horizontal="center"/>
    </xf>
    <xf numFmtId="43" fontId="16" fillId="2" borderId="0" xfId="27" applyFont="1" applyFill="1"/>
    <xf numFmtId="43" fontId="16" fillId="2" borderId="9" xfId="27" applyFont="1" applyFill="1" applyBorder="1"/>
    <xf numFmtId="43" fontId="17" fillId="2" borderId="0" xfId="27" applyFont="1" applyFill="1"/>
    <xf numFmtId="43" fontId="16" fillId="0" borderId="9" xfId="27" applyFont="1" applyFill="1" applyBorder="1"/>
    <xf numFmtId="43" fontId="16" fillId="0" borderId="0" xfId="27" applyFont="1" applyFill="1"/>
    <xf numFmtId="5" fontId="16" fillId="2" borderId="0" xfId="0" applyNumberFormat="1" applyFont="1" applyFill="1" applyAlignment="1">
      <alignment horizontal="center"/>
    </xf>
    <xf numFmtId="0" fontId="12" fillId="3" borderId="11" xfId="32" applyFont="1" applyFill="1" applyBorder="1" applyAlignment="1">
      <alignment wrapText="1"/>
    </xf>
    <xf numFmtId="0" fontId="12" fillId="3" borderId="12" xfId="32" applyFont="1" applyFill="1" applyBorder="1" applyAlignment="1">
      <alignment wrapText="1"/>
    </xf>
    <xf numFmtId="0" fontId="12" fillId="3" borderId="12" xfId="32" applyFont="1" applyFill="1" applyBorder="1" applyAlignment="1">
      <alignment horizontal="center" wrapText="1"/>
    </xf>
    <xf numFmtId="37" fontId="13" fillId="0" borderId="0" xfId="14" applyNumberFormat="1" applyFont="1"/>
    <xf numFmtId="0" fontId="12" fillId="0" borderId="0" xfId="14" applyFont="1" applyAlignment="1">
      <alignment horizontal="center" vertical="top"/>
    </xf>
    <xf numFmtId="6" fontId="13" fillId="0" borderId="21" xfId="3" applyNumberFormat="1" applyFont="1" applyBorder="1"/>
    <xf numFmtId="6" fontId="13" fillId="0" borderId="26" xfId="22" applyNumberFormat="1" applyFont="1" applyBorder="1"/>
    <xf numFmtId="6" fontId="12" fillId="0" borderId="21" xfId="3" applyNumberFormat="1" applyFont="1" applyBorder="1"/>
    <xf numFmtId="43" fontId="13" fillId="0" borderId="0" xfId="0" applyNumberFormat="1" applyFont="1"/>
    <xf numFmtId="40" fontId="16" fillId="0" borderId="21" xfId="19" applyNumberFormat="1" applyFont="1" applyFill="1" applyBorder="1"/>
    <xf numFmtId="0" fontId="19" fillId="0" borderId="19" xfId="0" applyFont="1" applyFill="1" applyBorder="1" applyAlignment="1">
      <alignment horizontal="center"/>
    </xf>
    <xf numFmtId="8" fontId="16" fillId="0" borderId="24" xfId="19" applyNumberFormat="1" applyFont="1" applyFill="1" applyBorder="1"/>
    <xf numFmtId="40" fontId="16" fillId="0" borderId="24" xfId="19" applyNumberFormat="1" applyFont="1" applyFill="1" applyBorder="1"/>
    <xf numFmtId="37" fontId="13" fillId="7" borderId="0" xfId="14" applyNumberFormat="1" applyFont="1" applyFill="1" applyBorder="1" applyAlignment="1">
      <alignment horizontal="right"/>
    </xf>
    <xf numFmtId="37" fontId="13" fillId="7" borderId="8" xfId="14" applyNumberFormat="1" applyFont="1" applyFill="1" applyBorder="1" applyAlignment="1">
      <alignment horizontal="right"/>
    </xf>
    <xf numFmtId="0" fontId="17" fillId="7" borderId="23" xfId="0" applyFont="1" applyFill="1" applyBorder="1" applyAlignment="1">
      <alignment horizontal="center"/>
    </xf>
    <xf numFmtId="0" fontId="17" fillId="7" borderId="13" xfId="0" applyFont="1" applyFill="1" applyBorder="1" applyAlignment="1">
      <alignment horizontal="center"/>
    </xf>
    <xf numFmtId="8" fontId="16" fillId="7" borderId="20" xfId="19" applyNumberFormat="1" applyFont="1" applyFill="1" applyBorder="1"/>
    <xf numFmtId="40" fontId="16" fillId="7" borderId="21" xfId="19" applyNumberFormat="1" applyFont="1" applyFill="1" applyBorder="1"/>
    <xf numFmtId="8" fontId="17" fillId="7" borderId="22" xfId="19" applyNumberFormat="1" applyFont="1" applyFill="1" applyBorder="1"/>
    <xf numFmtId="0" fontId="17" fillId="10" borderId="23" xfId="0" applyFont="1" applyFill="1" applyBorder="1" applyAlignment="1">
      <alignment horizontal="center"/>
    </xf>
    <xf numFmtId="0" fontId="17" fillId="10" borderId="13" xfId="0" applyFont="1" applyFill="1" applyBorder="1" applyAlignment="1">
      <alignment horizontal="center"/>
    </xf>
    <xf numFmtId="0" fontId="19" fillId="10" borderId="19" xfId="0" applyFont="1" applyFill="1" applyBorder="1" applyAlignment="1">
      <alignment horizontal="center"/>
    </xf>
    <xf numFmtId="8" fontId="16" fillId="10" borderId="24" xfId="19" applyNumberFormat="1" applyFont="1" applyFill="1" applyBorder="1"/>
    <xf numFmtId="8" fontId="17" fillId="10" borderId="22" xfId="19" applyNumberFormat="1" applyFont="1" applyFill="1" applyBorder="1"/>
    <xf numFmtId="8" fontId="16" fillId="0" borderId="0" xfId="0" applyNumberFormat="1" applyFont="1" applyFill="1"/>
    <xf numFmtId="8" fontId="16" fillId="0" borderId="0" xfId="0" applyNumberFormat="1" applyFont="1" applyFill="1"/>
    <xf numFmtId="8" fontId="0" fillId="0" borderId="0" xfId="0" applyNumberFormat="1"/>
    <xf numFmtId="3" fontId="33" fillId="13" borderId="25" xfId="0" applyNumberFormat="1" applyFont="1" applyFill="1" applyBorder="1"/>
    <xf numFmtId="165" fontId="33" fillId="13" borderId="25" xfId="19" applyNumberFormat="1" applyFont="1" applyFill="1" applyBorder="1"/>
    <xf numFmtId="0" fontId="13" fillId="0" borderId="0" xfId="0" applyFont="1" applyAlignment="1">
      <alignment vertical="center"/>
    </xf>
    <xf numFmtId="0" fontId="13" fillId="0" borderId="0" xfId="5" applyFont="1"/>
    <xf numFmtId="165" fontId="13" fillId="0" borderId="0" xfId="5" applyNumberFormat="1" applyFont="1"/>
    <xf numFmtId="0" fontId="13" fillId="0" borderId="0" xfId="5" applyFont="1" applyFill="1"/>
    <xf numFmtId="0" fontId="2" fillId="14" borderId="25" xfId="42" applyFont="1" applyFill="1" applyBorder="1"/>
    <xf numFmtId="0" fontId="13" fillId="13" borderId="25" xfId="16" applyFont="1" applyFill="1" applyBorder="1"/>
    <xf numFmtId="0" fontId="13" fillId="0" borderId="0" xfId="4" applyFont="1" applyFill="1"/>
    <xf numFmtId="0" fontId="13" fillId="0" borderId="0" xfId="4" applyFont="1"/>
    <xf numFmtId="0" fontId="13" fillId="0" borderId="25" xfId="4" applyFont="1" applyBorder="1" applyAlignment="1">
      <alignment horizontal="center" vertical="center"/>
    </xf>
    <xf numFmtId="0" fontId="12" fillId="0" borderId="25" xfId="4" applyFont="1" applyBorder="1" applyAlignment="1">
      <alignment horizontal="center" vertical="center"/>
    </xf>
    <xf numFmtId="0" fontId="12" fillId="0" borderId="0" xfId="4" applyFont="1" applyFill="1" applyBorder="1" applyAlignment="1">
      <alignment horizontal="center" vertical="center"/>
    </xf>
    <xf numFmtId="0" fontId="12" fillId="0" borderId="0" xfId="4" applyFont="1" applyBorder="1" applyAlignment="1">
      <alignment horizontal="center" vertical="center"/>
    </xf>
    <xf numFmtId="0" fontId="13" fillId="0" borderId="0" xfId="4" applyFont="1" applyAlignment="1">
      <alignment horizontal="center" vertical="center"/>
    </xf>
    <xf numFmtId="0" fontId="13" fillId="0" borderId="25" xfId="4" applyFont="1" applyBorder="1" applyAlignment="1">
      <alignment horizontal="center"/>
    </xf>
    <xf numFmtId="0" fontId="13" fillId="0" borderId="25" xfId="4" applyNumberFormat="1" applyFont="1" applyFill="1" applyBorder="1" applyAlignment="1" applyProtection="1">
      <alignment horizontal="center" vertical="center" wrapText="1"/>
      <protection locked="0"/>
    </xf>
    <xf numFmtId="0" fontId="13" fillId="7" borderId="34" xfId="4" applyNumberFormat="1" applyFont="1" applyFill="1" applyBorder="1" applyAlignment="1" applyProtection="1">
      <alignment horizontal="center" vertical="center" wrapText="1"/>
      <protection locked="0"/>
    </xf>
    <xf numFmtId="0" fontId="13" fillId="7" borderId="21" xfId="4" applyNumberFormat="1" applyFont="1" applyFill="1" applyBorder="1" applyAlignment="1" applyProtection="1">
      <alignment horizontal="center" vertical="center" wrapText="1"/>
      <protection locked="0"/>
    </xf>
    <xf numFmtId="0" fontId="13" fillId="0" borderId="35" xfId="4" applyNumberFormat="1" applyFont="1" applyFill="1" applyBorder="1" applyAlignment="1" applyProtection="1">
      <alignment horizontal="center" vertical="center" wrapText="1"/>
      <protection locked="0"/>
    </xf>
    <xf numFmtId="0" fontId="13" fillId="0" borderId="26" xfId="4" applyNumberFormat="1" applyFont="1" applyFill="1" applyBorder="1" applyAlignment="1" applyProtection="1">
      <alignment horizontal="center" vertical="center" wrapText="1"/>
      <protection locked="0"/>
    </xf>
    <xf numFmtId="0" fontId="13" fillId="0" borderId="21" xfId="4" applyNumberFormat="1" applyFont="1" applyFill="1" applyBorder="1" applyAlignment="1" applyProtection="1">
      <alignment horizontal="center" vertical="center" wrapText="1"/>
      <protection locked="0"/>
    </xf>
    <xf numFmtId="0" fontId="13" fillId="0" borderId="27" xfId="4" applyNumberFormat="1" applyFont="1" applyFill="1" applyBorder="1" applyAlignment="1" applyProtection="1">
      <alignment horizontal="center" vertical="center" wrapText="1"/>
      <protection locked="0"/>
    </xf>
    <xf numFmtId="0" fontId="13" fillId="0" borderId="36" xfId="4" applyNumberFormat="1" applyFont="1" applyFill="1" applyBorder="1" applyAlignment="1" applyProtection="1">
      <alignment horizontal="center" vertical="center" wrapText="1"/>
      <protection locked="0"/>
    </xf>
    <xf numFmtId="0" fontId="13" fillId="0" borderId="37" xfId="4" applyNumberFormat="1" applyFont="1" applyFill="1" applyBorder="1" applyAlignment="1" applyProtection="1">
      <alignment horizontal="center" vertical="center" wrapText="1"/>
      <protection locked="0"/>
    </xf>
    <xf numFmtId="0" fontId="13" fillId="0" borderId="38" xfId="4" applyNumberFormat="1" applyFont="1" applyFill="1" applyBorder="1" applyAlignment="1" applyProtection="1">
      <alignment horizontal="center" vertical="center" wrapText="1"/>
      <protection locked="0"/>
    </xf>
    <xf numFmtId="0" fontId="13" fillId="0" borderId="10" xfId="4" applyNumberFormat="1" applyFont="1" applyFill="1" applyBorder="1" applyAlignment="1" applyProtection="1">
      <alignment horizontal="center" vertical="center" wrapText="1"/>
      <protection locked="0"/>
    </xf>
    <xf numFmtId="3" fontId="21" fillId="7" borderId="34" xfId="4" applyNumberFormat="1" applyFont="1" applyFill="1" applyBorder="1"/>
    <xf numFmtId="3" fontId="21" fillId="7" borderId="21" xfId="4" applyNumberFormat="1" applyFont="1" applyFill="1" applyBorder="1"/>
    <xf numFmtId="0" fontId="13" fillId="0" borderId="36" xfId="4" applyFont="1" applyBorder="1" applyAlignment="1">
      <alignment horizontal="center"/>
    </xf>
    <xf numFmtId="6" fontId="13" fillId="0" borderId="21" xfId="4" applyNumberFormat="1" applyFont="1" applyBorder="1"/>
    <xf numFmtId="6" fontId="13" fillId="0" borderId="35" xfId="4" applyNumberFormat="1" applyFont="1" applyBorder="1"/>
    <xf numFmtId="0" fontId="13" fillId="0" borderId="37" xfId="4" applyFont="1" applyBorder="1" applyAlignment="1">
      <alignment horizontal="center"/>
    </xf>
    <xf numFmtId="0" fontId="13" fillId="0" borderId="38" xfId="4" applyFont="1" applyBorder="1" applyAlignment="1">
      <alignment horizontal="center"/>
    </xf>
    <xf numFmtId="6" fontId="13" fillId="0" borderId="38" xfId="4" applyNumberFormat="1" applyFont="1" applyBorder="1"/>
    <xf numFmtId="6" fontId="13" fillId="0" borderId="10" xfId="4" applyNumberFormat="1" applyFont="1" applyBorder="1"/>
    <xf numFmtId="6" fontId="13" fillId="0" borderId="27" xfId="4" applyNumberFormat="1" applyFont="1" applyBorder="1"/>
    <xf numFmtId="6" fontId="13" fillId="0" borderId="0" xfId="4" applyNumberFormat="1" applyFont="1" applyFill="1" applyBorder="1"/>
    <xf numFmtId="0" fontId="12" fillId="0" borderId="25" xfId="4" applyFont="1" applyBorder="1" applyAlignment="1">
      <alignment horizontal="center"/>
    </xf>
    <xf numFmtId="3" fontId="12" fillId="7" borderId="34" xfId="4" applyNumberFormat="1" applyFont="1" applyFill="1" applyBorder="1" applyAlignment="1" applyProtection="1">
      <alignment horizontal="right"/>
    </xf>
    <xf numFmtId="3" fontId="12" fillId="7" borderId="21" xfId="4" applyNumberFormat="1" applyFont="1" applyFill="1" applyBorder="1" applyAlignment="1" applyProtection="1">
      <alignment horizontal="right"/>
    </xf>
    <xf numFmtId="0" fontId="12" fillId="0" borderId="39" xfId="4" applyFont="1" applyBorder="1"/>
    <xf numFmtId="6" fontId="12" fillId="0" borderId="22" xfId="4" applyNumberFormat="1" applyFont="1" applyBorder="1"/>
    <xf numFmtId="0" fontId="12" fillId="0" borderId="40" xfId="4" applyFont="1" applyBorder="1" applyAlignment="1">
      <alignment horizontal="center"/>
    </xf>
    <xf numFmtId="0" fontId="12" fillId="0" borderId="41" xfId="4" applyFont="1" applyBorder="1"/>
    <xf numFmtId="6" fontId="12" fillId="0" borderId="42" xfId="4" applyNumberFormat="1" applyFont="1" applyBorder="1"/>
    <xf numFmtId="6" fontId="12" fillId="0" borderId="41" xfId="4" applyNumberFormat="1" applyFont="1" applyBorder="1"/>
    <xf numFmtId="6" fontId="12" fillId="0" borderId="26" xfId="4" applyNumberFormat="1" applyFont="1" applyBorder="1"/>
    <xf numFmtId="6" fontId="12" fillId="0" borderId="21" xfId="4" applyNumberFormat="1" applyFont="1" applyBorder="1"/>
    <xf numFmtId="6" fontId="12" fillId="0" borderId="27" xfId="4" applyNumberFormat="1" applyFont="1" applyBorder="1"/>
    <xf numFmtId="6" fontId="12" fillId="0" borderId="0" xfId="4" applyNumberFormat="1" applyFont="1" applyFill="1" applyBorder="1"/>
    <xf numFmtId="0" fontId="12" fillId="0" borderId="0" xfId="4" applyFont="1"/>
    <xf numFmtId="6" fontId="13" fillId="0" borderId="0" xfId="4" applyNumberFormat="1" applyFont="1"/>
    <xf numFmtId="0" fontId="13" fillId="0" borderId="0" xfId="4" applyFont="1" applyFill="1" applyBorder="1"/>
    <xf numFmtId="0" fontId="22" fillId="0" borderId="0" xfId="4" applyFont="1" applyAlignment="1">
      <alignment horizontal="right"/>
    </xf>
    <xf numFmtId="0" fontId="23" fillId="0" borderId="0" xfId="4" applyFont="1" applyBorder="1" applyAlignment="1"/>
    <xf numFmtId="43" fontId="13" fillId="0" borderId="0" xfId="4" applyNumberFormat="1" applyFont="1"/>
    <xf numFmtId="43" fontId="13" fillId="0" borderId="9" xfId="4" applyNumberFormat="1" applyFont="1" applyBorder="1"/>
    <xf numFmtId="43" fontId="13" fillId="0" borderId="0" xfId="4" applyNumberFormat="1" applyFont="1" applyFill="1" applyBorder="1" applyAlignment="1">
      <alignment wrapText="1"/>
    </xf>
    <xf numFmtId="11" fontId="13" fillId="0" borderId="0" xfId="4" applyNumberFormat="1" applyFont="1" applyFill="1" applyBorder="1" applyAlignment="1">
      <alignment wrapText="1"/>
    </xf>
    <xf numFmtId="0" fontId="13" fillId="0" borderId="0" xfId="4" applyFont="1" applyAlignment="1">
      <alignment wrapText="1"/>
    </xf>
    <xf numFmtId="0" fontId="12" fillId="3" borderId="11" xfId="54" applyFont="1" applyFill="1" applyBorder="1" applyAlignment="1">
      <alignment wrapText="1"/>
    </xf>
    <xf numFmtId="0" fontId="12" fillId="3" borderId="12" xfId="54" applyFont="1" applyFill="1" applyBorder="1" applyAlignment="1">
      <alignment wrapText="1"/>
    </xf>
    <xf numFmtId="0" fontId="8" fillId="0" borderId="0" xfId="4"/>
    <xf numFmtId="0" fontId="18" fillId="13" borderId="25" xfId="16" applyFont="1" applyFill="1" applyBorder="1"/>
    <xf numFmtId="165" fontId="12" fillId="0" borderId="13" xfId="55" applyNumberFormat="1" applyFont="1" applyBorder="1"/>
    <xf numFmtId="165" fontId="12" fillId="0" borderId="55" xfId="55" applyNumberFormat="1" applyFont="1" applyBorder="1"/>
    <xf numFmtId="0" fontId="35" fillId="14" borderId="25" xfId="42" applyFont="1" applyFill="1" applyBorder="1"/>
    <xf numFmtId="3" fontId="36" fillId="13" borderId="25" xfId="42" applyNumberFormat="1" applyFont="1" applyFill="1" applyBorder="1"/>
    <xf numFmtId="165" fontId="36" fillId="13" borderId="25" xfId="56" applyNumberFormat="1" applyFont="1" applyFill="1" applyBorder="1"/>
    <xf numFmtId="1" fontId="36" fillId="13" borderId="25" xfId="56" applyNumberFormat="1" applyFont="1" applyFill="1" applyBorder="1"/>
    <xf numFmtId="0" fontId="13" fillId="0" borderId="0" xfId="0" pivotButton="1" applyFont="1" applyAlignment="1">
      <alignment wrapText="1"/>
    </xf>
    <xf numFmtId="0" fontId="13" fillId="0" borderId="0" xfId="0" applyFont="1" applyAlignment="1">
      <alignment horizontal="left"/>
    </xf>
    <xf numFmtId="0" fontId="12" fillId="0" borderId="32" xfId="4" applyFont="1" applyBorder="1" applyAlignment="1">
      <alignment horizontal="center" vertical="center"/>
    </xf>
    <xf numFmtId="0" fontId="12" fillId="0" borderId="29" xfId="4" applyFont="1" applyBorder="1" applyAlignment="1">
      <alignment horizontal="center" vertical="center"/>
    </xf>
    <xf numFmtId="0" fontId="12" fillId="0" borderId="30" xfId="4" applyFont="1" applyBorder="1" applyAlignment="1">
      <alignment horizontal="center" vertical="center"/>
    </xf>
    <xf numFmtId="0" fontId="12" fillId="0" borderId="31" xfId="4" applyFont="1" applyBorder="1" applyAlignment="1">
      <alignment horizontal="center" vertical="center"/>
    </xf>
    <xf numFmtId="0" fontId="12" fillId="0" borderId="26" xfId="4" applyFont="1" applyBorder="1" applyAlignment="1">
      <alignment horizontal="center" vertical="center"/>
    </xf>
    <xf numFmtId="0" fontId="12" fillId="0" borderId="10" xfId="4" applyFont="1" applyBorder="1" applyAlignment="1">
      <alignment horizontal="center" vertical="center"/>
    </xf>
    <xf numFmtId="0" fontId="12" fillId="0" borderId="27" xfId="4" applyFont="1" applyBorder="1" applyAlignment="1">
      <alignment horizontal="center" vertical="center"/>
    </xf>
    <xf numFmtId="0" fontId="12" fillId="0" borderId="28" xfId="4" applyFont="1" applyBorder="1" applyAlignment="1">
      <alignment horizontal="center" vertical="center"/>
    </xf>
    <xf numFmtId="0" fontId="12" fillId="0" borderId="33" xfId="4" applyFont="1" applyBorder="1" applyAlignment="1">
      <alignment horizontal="center" vertical="center" wrapText="1"/>
    </xf>
    <xf numFmtId="0" fontId="12" fillId="0" borderId="17" xfId="4" applyFont="1" applyBorder="1" applyAlignment="1">
      <alignment horizontal="center" vertical="center" wrapText="1"/>
    </xf>
    <xf numFmtId="0" fontId="8" fillId="0" borderId="10" xfId="4" applyBorder="1"/>
    <xf numFmtId="0" fontId="8" fillId="0" borderId="27" xfId="4" applyBorder="1"/>
    <xf numFmtId="0" fontId="13" fillId="0" borderId="10" xfId="4" applyNumberFormat="1" applyFont="1" applyFill="1" applyBorder="1" applyAlignment="1" applyProtection="1">
      <alignment horizontal="center" vertical="center" wrapText="1"/>
      <protection locked="0"/>
    </xf>
    <xf numFmtId="0" fontId="12" fillId="0" borderId="0" xfId="20" applyFont="1" applyAlignment="1">
      <alignment horizontal="center"/>
    </xf>
    <xf numFmtId="0" fontId="12" fillId="0" borderId="9" xfId="20" applyFont="1" applyBorder="1" applyAlignment="1">
      <alignment horizontal="center"/>
    </xf>
    <xf numFmtId="0" fontId="17" fillId="0" borderId="0" xfId="0" applyFont="1" applyFill="1" applyBorder="1" applyAlignment="1">
      <alignment horizontal="center"/>
    </xf>
  </cellXfs>
  <cellStyles count="57">
    <cellStyle name="Comma" xfId="19" builtinId="3"/>
    <cellStyle name="Comma 12" xfId="56"/>
    <cellStyle name="Comma 2" xfId="1"/>
    <cellStyle name="Comma 2 2" xfId="21"/>
    <cellStyle name="Comma 2 2 2" xfId="36"/>
    <cellStyle name="Comma 2 2 2 2" xfId="52"/>
    <cellStyle name="Comma 2 2 3" xfId="47"/>
    <cellStyle name="Comma 2 3" xfId="22"/>
    <cellStyle name="Comma 3" xfId="2"/>
    <cellStyle name="Comma 3 2" xfId="23"/>
    <cellStyle name="Comma 4" xfId="15"/>
    <cellStyle name="Comma 5" xfId="27"/>
    <cellStyle name="Currency 2" xfId="3"/>
    <cellStyle name="Currency 3" xfId="31"/>
    <cellStyle name="Currency 3 2" xfId="41"/>
    <cellStyle name="Normal" xfId="0" builtinId="0"/>
    <cellStyle name="Normal 10" xfId="18"/>
    <cellStyle name="Normal 10 2" xfId="34"/>
    <cellStyle name="Normal 10 2 2" xfId="50"/>
    <cellStyle name="Normal 10 3" xfId="45"/>
    <cellStyle name="Normal 11" xfId="4"/>
    <cellStyle name="Normal 12" xfId="25"/>
    <cellStyle name="Normal 13" xfId="26"/>
    <cellStyle name="Normal 13 2" xfId="37"/>
    <cellStyle name="Normal 14" xfId="30"/>
    <cellStyle name="Normal 14 2" xfId="40"/>
    <cellStyle name="Normal 15" xfId="43"/>
    <cellStyle name="Normal 2" xfId="5"/>
    <cellStyle name="Normal 2 2" xfId="6"/>
    <cellStyle name="Normal 2 3" xfId="20"/>
    <cellStyle name="Normal 2 3 2" xfId="35"/>
    <cellStyle name="Normal 2 3 2 2" xfId="51"/>
    <cellStyle name="Normal 2 3 3" xfId="46"/>
    <cellStyle name="Normal 2 3 4" xfId="55"/>
    <cellStyle name="Normal 2 4" xfId="32"/>
    <cellStyle name="Normal 2 5" xfId="54"/>
    <cellStyle name="Normal 23" xfId="42"/>
    <cellStyle name="Normal 3" xfId="7"/>
    <cellStyle name="Normal 3 2" xfId="29"/>
    <cellStyle name="Normal 3 2 2" xfId="39"/>
    <cellStyle name="Normal 3 2 2 2" xfId="53"/>
    <cellStyle name="Normal 3 2 3" xfId="48"/>
    <cellStyle name="Normal 3 3" xfId="33"/>
    <cellStyle name="Normal 3 3 2" xfId="49"/>
    <cellStyle name="Normal 3 4" xfId="44"/>
    <cellStyle name="Normal 4" xfId="8"/>
    <cellStyle name="Normal 5" xfId="9"/>
    <cellStyle name="Normal 6" xfId="10"/>
    <cellStyle name="Normal 7" xfId="11"/>
    <cellStyle name="Normal 8" xfId="12"/>
    <cellStyle name="Normal 9" xfId="13"/>
    <cellStyle name="Normal_2008 OAA award with additional tabs" xfId="14"/>
    <cellStyle name="Normal_Sheet1" xfId="24"/>
    <cellStyle name="Normal_Sheet2" xfId="16"/>
    <cellStyle name="Percent" xfId="28" builtinId="5"/>
    <cellStyle name="Percent 2" xfId="17"/>
    <cellStyle name="Percent 3" xfId="38"/>
  </cellStyles>
  <dxfs count="27"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wrapText="1" readingOrder="0"/>
    </dxf>
    <dxf>
      <alignment wrapText="1" readingOrder="0"/>
    </dxf>
    <dxf>
      <numFmt numFmtId="33" formatCode="_(* #,##0_);_(* \(#,##0\);_(* &quot;-&quot;_);_(@_)"/>
    </dxf>
    <dxf>
      <numFmt numFmtId="33" formatCode="_(* #,##0_);_(* \(#,##0\);_(* &quot;-&quot;_);_(@_)"/>
    </dxf>
    <dxf>
      <font>
        <sz val="11"/>
      </font>
    </dxf>
    <dxf>
      <font>
        <name val="Calibri"/>
        <scheme val="minor"/>
      </font>
    </dxf>
    <dxf>
      <alignment horizontal="center" readingOrder="0"/>
    </dxf>
    <dxf>
      <alignment wrapText="1" readingOrder="0"/>
    </dxf>
    <dxf>
      <font>
        <sz val="11"/>
      </font>
    </dxf>
    <dxf>
      <font>
        <name val="Calibri"/>
        <scheme val="minor"/>
      </font>
    </dxf>
    <dxf>
      <alignment wrapText="1" readingOrder="0"/>
    </dxf>
    <dxf>
      <alignment wrapText="1" readingOrder="0"/>
    </dxf>
    <dxf>
      <numFmt numFmtId="35" formatCode="_(* #,##0.00_);_(* \(#,##0.00\);_(* &quot;-&quot;??_);_(@_)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horizontal="center" readingOrder="0"/>
    </dxf>
    <dxf>
      <font>
        <sz val="11"/>
      </font>
    </dxf>
    <dxf>
      <font>
        <name val="Calibri"/>
        <scheme val="minor"/>
      </font>
    </dxf>
    <dxf>
      <numFmt numFmtId="33" formatCode="_(* #,##0_);_(* \(#,##0\);_(* &quot;-&quot;_);_(@_)"/>
    </dxf>
    <dxf>
      <font>
        <sz val="10"/>
      </font>
    </dxf>
    <dxf>
      <font>
        <name val="Arial"/>
        <scheme val="none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pivotCacheDefinition" Target="pivotCache/pivotCacheDefinition3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pivotCacheDefinition" Target="pivotCache/pivotCacheDefinition2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pivotCacheDefinition" Target="pivotCache/pivotCacheDefinition1.xml"/><Relationship Id="rId22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HIEF\AOB%20SFY%2003-04\OAA2003SvcsAdmAllocaMarch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3 OAA "/>
      <sheetName val="Admin"/>
    </sheetNames>
    <sheetDataSet>
      <sheetData sheetId="0">
        <row r="17">
          <cell r="W17">
            <v>6304430</v>
          </cell>
        </row>
        <row r="19">
          <cell r="W19">
            <v>5605980</v>
          </cell>
        </row>
        <row r="21">
          <cell r="W21">
            <v>5183248</v>
          </cell>
        </row>
        <row r="23">
          <cell r="W23">
            <v>7215591</v>
          </cell>
        </row>
        <row r="25">
          <cell r="W25">
            <v>5322971</v>
          </cell>
        </row>
        <row r="27">
          <cell r="W27">
            <v>5465452</v>
          </cell>
        </row>
        <row r="29">
          <cell r="W29">
            <v>6566221</v>
          </cell>
        </row>
        <row r="31">
          <cell r="W31">
            <v>5424604</v>
          </cell>
        </row>
        <row r="33">
          <cell r="W33">
            <v>12526014</v>
          </cell>
        </row>
      </sheetData>
      <sheetData sheetId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fldoea.sharepoint.com/sites/FA/Shared%20Documents/CHIEF/OAA%20Funding%20Allocation/2014-2015/OAA%20III%20D%20Allocation%202014-2015.xlsx" TargetMode="External"/><Relationship Id="rId1" Type="http://schemas.openxmlformats.org/officeDocument/2006/relationships/pivotCacheRecords" Target="pivotCacheRecords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on Manalo" refreshedDate="41355.43539259259" createdVersion="3" refreshedVersion="3" minRefreshableVersion="3" recordCount="67">
  <cacheSource type="worksheet">
    <worksheetSource ref="A1:F68" sheet="2003 Demographics"/>
  </cacheSource>
  <cacheFields count="6">
    <cacheField name="PSA" numFmtId="0">
      <sharedItems containsSemiMixedTypes="0" containsString="0" containsNumber="1" containsInteger="1" minValue="1" maxValue="11" count="11">
        <n v="1"/>
        <n v="2"/>
        <n v="3"/>
        <n v="4"/>
        <n v="5"/>
        <n v="6"/>
        <n v="7"/>
        <n v="8"/>
        <n v="9"/>
        <n v="10"/>
        <n v="11"/>
      </sharedItems>
    </cacheField>
    <cacheField name="County" numFmtId="0">
      <sharedItems/>
    </cacheField>
    <cacheField name="60+" numFmtId="3">
      <sharedItems containsSemiMixedTypes="0" containsString="0" containsNumber="1" containsInteger="1" minValue="1047" maxValue="413568"/>
    </cacheField>
    <cacheField name="Low Income 60+" numFmtId="3">
      <sharedItems containsSemiMixedTypes="0" containsString="0" containsNumber="1" containsInteger="1" minValue="221" maxValue="86645"/>
    </cacheField>
    <cacheField name="Minority 60+ 125% PL" numFmtId="3">
      <sharedItems containsSemiMixedTypes="0" containsString="0" containsNumber="1" containsInteger="1" minValue="27" maxValue="94007"/>
    </cacheField>
    <cacheField name="Mobility &amp; Self Care Limitations 60+" numFmtId="3">
      <sharedItems containsSemiMixedTypes="0" containsString="0" containsNumber="1" containsInteger="1" minValue="68" maxValue="3054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Jon Manalo" refreshedDate="42416.628460416665" createdVersion="3" refreshedVersion="5" minRefreshableVersion="3" recordCount="67">
  <cacheSource type="worksheet">
    <worksheetSource ref="A3:F70" sheet="Demographics"/>
  </cacheSource>
  <cacheFields count="6">
    <cacheField name="PSA" numFmtId="0">
      <sharedItems containsSemiMixedTypes="0" containsString="0" containsNumber="1" containsInteger="1" minValue="1" maxValue="11" count="11">
        <n v="1"/>
        <n v="2"/>
        <n v="3"/>
        <n v="4"/>
        <n v="5"/>
        <n v="6"/>
        <n v="7"/>
        <n v="8"/>
        <n v="9"/>
        <n v="10"/>
        <n v="11"/>
      </sharedItems>
    </cacheField>
    <cacheField name="County" numFmtId="0">
      <sharedItems/>
    </cacheField>
    <cacheField name="Population 60+" numFmtId="165">
      <sharedItems containsSemiMixedTypes="0" containsString="0" containsNumber="1" minValue="1474.1188755020082" maxValue="549917.46267795237"/>
    </cacheField>
    <cacheField name="Population 60+ Below Federal Poverty Level (FPL)" numFmtId="3">
      <sharedItems containsSemiMixedTypes="0" containsString="0" containsNumber="1" minValue="195.07249672130024" maxValue="113467.27400899208"/>
    </cacheField>
    <cacheField name="Minority Population 60+ Below 125% FPL" numFmtId="165">
      <sharedItems containsSemiMixedTypes="0" containsString="0" containsNumber="1" minValue="32.626159130608123" maxValue="142321.74811026827"/>
    </cacheField>
    <cacheField name="Population 60+ With 2 or More Disabilities" numFmtId="165">
      <sharedItems containsSemiMixedTypes="0" containsString="0" containsNumber="1" minValue="353.52172127423728" maxValue="101758.2577058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r:id="rId1" refreshedBy="Jon Manalo" refreshedDate="42416.639308449077" createdVersion="3" refreshedVersion="5" minRefreshableVersion="3" recordCount="67">
  <cacheSource type="worksheet">
    <worksheetSource ref="A3:D70" sheet="FPL &amp; MU" r:id="rId2"/>
  </cacheSource>
  <cacheFields count="4">
    <cacheField name="PSA" numFmtId="0">
      <sharedItems containsSemiMixedTypes="0" containsString="0" containsNumber="1" containsInteger="1" minValue="1" maxValue="11" count="11">
        <n v="1"/>
        <n v="2"/>
        <n v="3"/>
        <n v="4"/>
        <n v="5"/>
        <n v="6"/>
        <n v="7"/>
        <n v="8"/>
        <n v="9"/>
        <n v="10"/>
        <n v="11"/>
      </sharedItems>
    </cacheField>
    <cacheField name="County" numFmtId="0">
      <sharedItems/>
    </cacheField>
    <cacheField name="Population 60+ Below Federal Poverty Level (FPL)2" numFmtId="0">
      <sharedItems containsSemiMixedTypes="0" containsString="0" containsNumber="1" containsInteger="1" minValue="225" maxValue="106829"/>
    </cacheField>
    <cacheField name="People Age 65 &amp; Over Living in Medically Underserved Areas &amp; Populations" numFmtId="165">
      <sharedItems containsSemiMixedTypes="0" containsString="0" containsNumber="1" minValue="508.464" maxValue="113000.2849999999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67">
  <r>
    <x v="0"/>
    <s v="Escambia"/>
    <n v="52967"/>
    <n v="8828"/>
    <n v="3886"/>
    <n v="3682"/>
  </r>
  <r>
    <x v="0"/>
    <s v="Okaloosa"/>
    <n v="29409"/>
    <n v="3052"/>
    <n v="667"/>
    <n v="1324"/>
  </r>
  <r>
    <x v="0"/>
    <s v="Santa Rosa"/>
    <n v="21047"/>
    <n v="3213"/>
    <n v="541"/>
    <n v="1602"/>
  </r>
  <r>
    <x v="0"/>
    <s v="Walton"/>
    <n v="10576"/>
    <n v="2032"/>
    <n v="345"/>
    <n v="632"/>
  </r>
  <r>
    <x v="1"/>
    <s v="Bay"/>
    <n v="28383"/>
    <n v="4792"/>
    <n v="1013"/>
    <n v="1995"/>
  </r>
  <r>
    <x v="1"/>
    <s v="Calhoun"/>
    <n v="2542"/>
    <n v="682"/>
    <n v="116"/>
    <n v="127"/>
  </r>
  <r>
    <x v="1"/>
    <s v="Franklin"/>
    <n v="2655"/>
    <n v="754"/>
    <n v="105"/>
    <n v="165"/>
  </r>
  <r>
    <x v="1"/>
    <s v="Gadsden"/>
    <n v="7571"/>
    <n v="2070"/>
    <n v="1844"/>
    <n v="733"/>
  </r>
  <r>
    <x v="1"/>
    <s v="Gulf"/>
    <n v="3074"/>
    <n v="671"/>
    <n v="149"/>
    <n v="231"/>
  </r>
  <r>
    <x v="1"/>
    <s v="Holmes"/>
    <n v="3926"/>
    <n v="1028"/>
    <n v="27"/>
    <n v="430"/>
  </r>
  <r>
    <x v="1"/>
    <s v="Jackson"/>
    <n v="9151"/>
    <n v="2797"/>
    <n v="1202"/>
    <n v="931"/>
  </r>
  <r>
    <x v="1"/>
    <s v="Jefferson"/>
    <n v="2502"/>
    <n v="628"/>
    <n v="322"/>
    <n v="240"/>
  </r>
  <r>
    <x v="1"/>
    <s v="Leon"/>
    <n v="28365"/>
    <n v="4051"/>
    <n v="2257"/>
    <n v="1604"/>
  </r>
  <r>
    <x v="1"/>
    <s v="Liberty"/>
    <n v="1047"/>
    <n v="221"/>
    <n v="36"/>
    <n v="172"/>
  </r>
  <r>
    <x v="1"/>
    <s v="Madison"/>
    <n v="3651"/>
    <n v="1215"/>
    <n v="623"/>
    <n v="313"/>
  </r>
  <r>
    <x v="1"/>
    <s v="Taylor"/>
    <n v="3838"/>
    <n v="976"/>
    <n v="240"/>
    <n v="220"/>
  </r>
  <r>
    <x v="1"/>
    <s v="Wakulla"/>
    <n v="3917"/>
    <n v="646"/>
    <n v="120"/>
    <n v="302"/>
  </r>
  <r>
    <x v="1"/>
    <s v="Washington"/>
    <n v="4719"/>
    <n v="1114"/>
    <n v="169"/>
    <n v="428"/>
  </r>
  <r>
    <x v="2"/>
    <s v="Alachua"/>
    <n v="29318"/>
    <n v="4864"/>
    <n v="2490"/>
    <n v="2046"/>
  </r>
  <r>
    <x v="2"/>
    <s v="Bradford"/>
    <n v="4783"/>
    <n v="951"/>
    <n v="157"/>
    <n v="369"/>
  </r>
  <r>
    <x v="2"/>
    <s v="Citrus"/>
    <n v="50443"/>
    <n v="5648"/>
    <n v="604"/>
    <n v="2230"/>
  </r>
  <r>
    <x v="2"/>
    <s v="Columbia"/>
    <n v="11237"/>
    <n v="2394"/>
    <n v="766"/>
    <n v="882"/>
  </r>
  <r>
    <x v="2"/>
    <s v="Dixie"/>
    <n v="3618"/>
    <n v="1135"/>
    <n v="60"/>
    <n v="314"/>
  </r>
  <r>
    <x v="2"/>
    <s v="Gilchrist"/>
    <n v="2875"/>
    <n v="632"/>
    <n v="81"/>
    <n v="202"/>
  </r>
  <r>
    <x v="2"/>
    <s v="Hamilton"/>
    <n v="2155"/>
    <n v="715"/>
    <n v="335"/>
    <n v="168"/>
  </r>
  <r>
    <x v="2"/>
    <s v="Hernando"/>
    <n v="51010"/>
    <n v="4656"/>
    <n v="829"/>
    <n v="2197"/>
  </r>
  <r>
    <x v="2"/>
    <s v="Lafayette"/>
    <n v="1222"/>
    <n v="376"/>
    <n v="36"/>
    <n v="68"/>
  </r>
  <r>
    <x v="2"/>
    <s v="Lake"/>
    <n v="78263"/>
    <n v="9102"/>
    <n v="1623"/>
    <n v="3327"/>
  </r>
  <r>
    <x v="2"/>
    <s v="Levy"/>
    <n v="9457"/>
    <n v="2021"/>
    <n v="346"/>
    <n v="778"/>
  </r>
  <r>
    <x v="2"/>
    <s v="Marion"/>
    <n v="85493"/>
    <n v="11994"/>
    <n v="2757"/>
    <n v="4333"/>
  </r>
  <r>
    <x v="2"/>
    <s v="Putnam"/>
    <n v="17642"/>
    <n v="3135"/>
    <n v="1092"/>
    <n v="1195"/>
  </r>
  <r>
    <x v="2"/>
    <s v="Sumter"/>
    <n v="22785"/>
    <n v="3911"/>
    <n v="664"/>
    <n v="1164"/>
  </r>
  <r>
    <x v="2"/>
    <s v="Suwannee"/>
    <n v="8706"/>
    <n v="1978"/>
    <n v="398"/>
    <n v="755"/>
  </r>
  <r>
    <x v="2"/>
    <s v="Union"/>
    <n v="1558"/>
    <n v="332"/>
    <n v="70"/>
    <n v="115"/>
  </r>
  <r>
    <x v="3"/>
    <s v="Baker"/>
    <n v="3196"/>
    <n v="784"/>
    <n v="105"/>
    <n v="195"/>
  </r>
  <r>
    <x v="3"/>
    <s v="Clay"/>
    <n v="21819"/>
    <n v="2072"/>
    <n v="468"/>
    <n v="1339"/>
  </r>
  <r>
    <x v="3"/>
    <s v="Duval"/>
    <n v="115145"/>
    <n v="19184"/>
    <n v="10373"/>
    <n v="7950"/>
  </r>
  <r>
    <x v="3"/>
    <s v="Flagler"/>
    <n v="21633"/>
    <n v="1558"/>
    <n v="583"/>
    <n v="617"/>
  </r>
  <r>
    <x v="3"/>
    <s v="Nassau"/>
    <n v="11297"/>
    <n v="2388"/>
    <n v="485"/>
    <n v="728"/>
  </r>
  <r>
    <x v="3"/>
    <s v="St. Johns"/>
    <n v="29298"/>
    <n v="3285"/>
    <n v="753"/>
    <n v="1367"/>
  </r>
  <r>
    <x v="3"/>
    <s v="Volusia"/>
    <n v="127395"/>
    <n v="14326"/>
    <n v="2846"/>
    <n v="6520"/>
  </r>
  <r>
    <x v="4"/>
    <s v="Pasco"/>
    <n v="119964"/>
    <n v="12933"/>
    <n v="844"/>
    <n v="5609"/>
  </r>
  <r>
    <x v="4"/>
    <s v="Pinellas"/>
    <n v="258477"/>
    <n v="25891"/>
    <n v="5159"/>
    <n v="12046"/>
  </r>
  <r>
    <x v="5"/>
    <s v="Hardee"/>
    <n v="5052"/>
    <n v="1134"/>
    <n v="333"/>
    <n v="453"/>
  </r>
  <r>
    <x v="5"/>
    <s v="Highlands"/>
    <n v="36498"/>
    <n v="4544"/>
    <n v="849"/>
    <n v="1874"/>
  </r>
  <r>
    <x v="5"/>
    <s v="Hillsborough"/>
    <n v="171069"/>
    <n v="26230"/>
    <n v="14850"/>
    <n v="10283"/>
  </r>
  <r>
    <x v="5"/>
    <s v="Manatee"/>
    <n v="85494"/>
    <n v="7865"/>
    <n v="1417"/>
    <n v="3374"/>
  </r>
  <r>
    <x v="5"/>
    <s v="Polk"/>
    <n v="123091"/>
    <n v="16461"/>
    <n v="4435"/>
    <n v="6693"/>
  </r>
  <r>
    <x v="6"/>
    <s v="Brevard"/>
    <n v="125181"/>
    <n v="12003"/>
    <n v="2625"/>
    <n v="5548"/>
  </r>
  <r>
    <x v="6"/>
    <s v="Orange"/>
    <n v="131232"/>
    <n v="16553"/>
    <n v="8167"/>
    <n v="7417"/>
  </r>
  <r>
    <x v="6"/>
    <s v="Osceola"/>
    <n v="30484"/>
    <n v="3524"/>
    <n v="939"/>
    <n v="1442"/>
  </r>
  <r>
    <x v="6"/>
    <s v="Seminole"/>
    <n v="57476"/>
    <n v="6161"/>
    <n v="2499"/>
    <n v="3132"/>
  </r>
  <r>
    <x v="7"/>
    <s v="Charlotte"/>
    <n v="62302"/>
    <n v="4644"/>
    <n v="581"/>
    <n v="2464"/>
  </r>
  <r>
    <x v="7"/>
    <s v="Collier"/>
    <n v="89448"/>
    <n v="6299"/>
    <n v="1456"/>
    <n v="2942"/>
  </r>
  <r>
    <x v="7"/>
    <s v="DeSoto"/>
    <n v="8270"/>
    <n v="1104"/>
    <n v="208"/>
    <n v="554"/>
  </r>
  <r>
    <x v="7"/>
    <s v="Glades"/>
    <n v="2819"/>
    <n v="332"/>
    <n v="81"/>
    <n v="90"/>
  </r>
  <r>
    <x v="7"/>
    <s v="Hendry"/>
    <n v="5182"/>
    <n v="1028"/>
    <n v="456"/>
    <n v="313"/>
  </r>
  <r>
    <x v="7"/>
    <s v="Lee"/>
    <n v="149586"/>
    <n v="12313"/>
    <n v="2159"/>
    <n v="5785"/>
  </r>
  <r>
    <x v="7"/>
    <s v="Sarasota"/>
    <n v="131896"/>
    <n v="9830"/>
    <n v="1324"/>
    <n v="5525"/>
  </r>
  <r>
    <x v="8"/>
    <s v="Indian River"/>
    <n v="41658"/>
    <n v="3765"/>
    <n v="594"/>
    <n v="1559"/>
  </r>
  <r>
    <x v="8"/>
    <s v="Martin"/>
    <n v="45272"/>
    <n v="4011"/>
    <n v="485"/>
    <n v="1781"/>
  </r>
  <r>
    <x v="8"/>
    <s v="Okeechobee"/>
    <n v="8224"/>
    <n v="1645"/>
    <n v="180"/>
    <n v="582"/>
  </r>
  <r>
    <x v="8"/>
    <s v="Palm Beach"/>
    <n v="328378"/>
    <n v="30361"/>
    <n v="9195"/>
    <n v="14217"/>
  </r>
  <r>
    <x v="8"/>
    <s v="St. Lucie"/>
    <n v="57594"/>
    <n v="5981"/>
    <n v="2149"/>
    <n v="2594"/>
  </r>
  <r>
    <x v="9"/>
    <s v="Broward"/>
    <n v="338417"/>
    <n v="40324"/>
    <n v="13428"/>
    <n v="19131"/>
  </r>
  <r>
    <x v="10"/>
    <s v="Miami-Dade"/>
    <n v="413568"/>
    <n v="86645"/>
    <n v="94007"/>
    <n v="30549"/>
  </r>
  <r>
    <x v="10"/>
    <s v="Monroe"/>
    <n v="16591"/>
    <n v="2075"/>
    <n v="844"/>
    <n v="744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67">
  <r>
    <x v="0"/>
    <s v="Escambia"/>
    <n v="69356.22618611707"/>
    <n v="6360.9476678215196"/>
    <n v="3836.3074747874848"/>
    <n v="13622.32662800087"/>
  </r>
  <r>
    <x v="0"/>
    <s v="Okaloosa"/>
    <n v="41149.078768405292"/>
    <n v="2484.5342474594759"/>
    <n v="659.81088688216983"/>
    <n v="6932.5387082717834"/>
  </r>
  <r>
    <x v="0"/>
    <s v="Santa Rosa"/>
    <n v="33119.549955298644"/>
    <n v="2360.7177204979084"/>
    <n v="318.59647640181345"/>
    <n v="5681.5487005644936"/>
  </r>
  <r>
    <x v="0"/>
    <s v="Walton"/>
    <n v="14886.74158567608"/>
    <n v="1469.7459556609858"/>
    <n v="192.96105134727836"/>
    <n v="2585.0891390754991"/>
  </r>
  <r>
    <x v="1"/>
    <s v="Bay"/>
    <n v="38838.50286072032"/>
    <n v="3511.2486283552616"/>
    <n v="1237.4838786060882"/>
    <n v="7642.7600180927684"/>
  </r>
  <r>
    <x v="1"/>
    <s v="Calhoun"/>
    <n v="3355.7738707245185"/>
    <n v="471.96691341001508"/>
    <n v="161.30991407165928"/>
    <n v="941.87266623696564"/>
  </r>
  <r>
    <x v="1"/>
    <s v="Franklin"/>
    <n v="3189.9223235393451"/>
    <n v="431.06266652712867"/>
    <n v="44.271843489168774"/>
    <n v="878.38440793112397"/>
  </r>
  <r>
    <x v="1"/>
    <s v="Gadsden"/>
    <n v="10725.010856079405"/>
    <n v="1745.081647461695"/>
    <n v="1644.6086822336219"/>
    <n v="2024.0136460076053"/>
  </r>
  <r>
    <x v="1"/>
    <s v="Gulf"/>
    <n v="4153.04570494582"/>
    <n v="425.62357230252206"/>
    <n v="100.17234797076291"/>
    <n v="898.28840432902177"/>
  </r>
  <r>
    <x v="1"/>
    <s v="Holmes"/>
    <n v="5108.847564013151"/>
    <n v="787.58644346987035"/>
    <n v="49.822208704984448"/>
    <n v="1410.2547963161303"/>
  </r>
  <r>
    <x v="1"/>
    <s v="Jackson"/>
    <n v="12181.246382572746"/>
    <n v="1668.0783298937372"/>
    <n v="775.48804793622264"/>
    <n v="2778.9020263771563"/>
  </r>
  <r>
    <x v="1"/>
    <s v="Jefferson"/>
    <n v="4037.0723787434335"/>
    <n v="301.41831828057968"/>
    <n v="236.06699278709223"/>
    <n v="701.08348111318674"/>
  </r>
  <r>
    <x v="1"/>
    <s v="Leon"/>
    <n v="48546.58872602856"/>
    <n v="3484.4218937616929"/>
    <n v="2819.1143117589017"/>
    <n v="7047.1826922547361"/>
  </r>
  <r>
    <x v="1"/>
    <s v="Liberty"/>
    <n v="1474.1188755020082"/>
    <n v="195.07249672130024"/>
    <n v="69.500907740551327"/>
    <n v="353.52172127423728"/>
  </r>
  <r>
    <x v="1"/>
    <s v="Madison"/>
    <n v="4792.2961428941235"/>
    <n v="658.90772116631115"/>
    <n v="274.58602731799419"/>
    <n v="1212.1690243791018"/>
  </r>
  <r>
    <x v="1"/>
    <s v="Taylor"/>
    <n v="5746.4786525656091"/>
    <n v="593.52459298069675"/>
    <n v="196.79610493416672"/>
    <n v="1622.2116770400521"/>
  </r>
  <r>
    <x v="1"/>
    <s v="Wakulla"/>
    <n v="5902.1904489744084"/>
    <n v="455.21921644171118"/>
    <n v="72.004393888978569"/>
    <n v="1264.7550962088017"/>
  </r>
  <r>
    <x v="1"/>
    <s v="Washington"/>
    <n v="5690.3559537022356"/>
    <n v="657.12093934778136"/>
    <n v="164.04014396536485"/>
    <n v="1397.1617158196459"/>
  </r>
  <r>
    <x v="2"/>
    <s v="Alachua"/>
    <n v="47781.866290643666"/>
    <n v="4972.694332493098"/>
    <n v="2664.75935934994"/>
    <n v="8102.8378685509524"/>
  </r>
  <r>
    <x v="2"/>
    <s v="Bradford"/>
    <n v="6402.5108569774175"/>
    <n v="1015.0481254656057"/>
    <n v="397.02352564883989"/>
    <n v="1617.476427025874"/>
  </r>
  <r>
    <x v="2"/>
    <s v="Citrus"/>
    <n v="59672.470985856169"/>
    <n v="5240.8291129713371"/>
    <n v="462.26404616889806"/>
    <n v="9037.3599956881626"/>
  </r>
  <r>
    <x v="2"/>
    <s v="Columbia"/>
    <n v="16298.829284700996"/>
    <n v="1484.9315031827409"/>
    <n v="564.66605364376915"/>
    <n v="3923.5849342635297"/>
  </r>
  <r>
    <x v="2"/>
    <s v="Dixie"/>
    <n v="4786.495309117151"/>
    <n v="504.72734671781853"/>
    <n v="62.555931879607506"/>
    <n v="1344.7772535138663"/>
  </r>
  <r>
    <x v="2"/>
    <s v="Gilchrist"/>
    <n v="4511.1408775981527"/>
    <n v="683.6286249771041"/>
    <n v="32.626159130608123"/>
    <n v="1106.9260599778452"/>
  </r>
  <r>
    <x v="2"/>
    <s v="Hamilton"/>
    <n v="3351.0614869024002"/>
    <n v="467.52729956664803"/>
    <n v="402.33654728180744"/>
    <n v="898.51395685915963"/>
  </r>
  <r>
    <x v="2"/>
    <s v="Hernando"/>
    <n v="60151.627710632732"/>
    <n v="4251.0429993185262"/>
    <n v="1106.1897760313354"/>
    <n v="9997.4426347651206"/>
  </r>
  <r>
    <x v="2"/>
    <s v="Lafayette"/>
    <n v="1671.3898382842071"/>
    <n v="238.22966355261661"/>
    <n v="33.796612761402379"/>
    <n v="465.79716804641834"/>
  </r>
  <r>
    <x v="2"/>
    <s v="Lake"/>
    <n v="100800.00535091342"/>
    <n v="7291.6594310113123"/>
    <n v="2522.7186029885547"/>
    <n v="14100.366079160971"/>
  </r>
  <r>
    <x v="2"/>
    <s v="Levy"/>
    <n v="11850.709319726222"/>
    <n v="1297.5531185256234"/>
    <n v="339.7603140622428"/>
    <n v="2428.7296403573741"/>
  </r>
  <r>
    <x v="2"/>
    <s v="Marion"/>
    <n v="118407.04791695331"/>
    <n v="10986.217565231458"/>
    <n v="4139.2148450899876"/>
    <n v="18750.130561805519"/>
  </r>
  <r>
    <x v="2"/>
    <s v="Putnam"/>
    <n v="20369.87638066382"/>
    <n v="2727.8470232485488"/>
    <n v="979.32534009089647"/>
    <n v="3311.0231829466434"/>
  </r>
  <r>
    <x v="2"/>
    <s v="Sumter"/>
    <n v="67609.391092702514"/>
    <n v="3858.0169962588452"/>
    <n v="423.02981061880774"/>
    <n v="6300.5592611837556"/>
  </r>
  <r>
    <x v="2"/>
    <s v="Suwannee"/>
    <n v="11738.213370884463"/>
    <n v="1811.0474362155026"/>
    <n v="530.48044406794884"/>
    <n v="2459.4351824710302"/>
  </r>
  <r>
    <x v="2"/>
    <s v="Union"/>
    <n v="2972.082450832072"/>
    <n v="449.36960838162236"/>
    <n v="90.440588578334754"/>
    <n v="895.56126829708126"/>
  </r>
  <r>
    <x v="3"/>
    <s v="Baker"/>
    <n v="4931.2908280673564"/>
    <n v="452.87348958146401"/>
    <n v="59.22514678655152"/>
    <n v="1012.7271712250347"/>
  </r>
  <r>
    <x v="3"/>
    <s v="Clay"/>
    <n v="39670.569025404206"/>
    <n v="2759.8535563523292"/>
    <n v="618.03422020414587"/>
    <n v="6809.0019506349081"/>
  </r>
  <r>
    <x v="3"/>
    <s v="Duval"/>
    <n v="170905.52149202648"/>
    <n v="16988.301999523872"/>
    <n v="12236.536859067435"/>
    <n v="30924.58920206095"/>
  </r>
  <r>
    <x v="3"/>
    <s v="Flagler"/>
    <n v="34213.002894881458"/>
    <n v="2996.1776921368901"/>
    <n v="1222.1988345505188"/>
    <n v="4205.9156957424693"/>
  </r>
  <r>
    <x v="3"/>
    <s v="Nassau"/>
    <n v="20645.785312499997"/>
    <n v="1895.7877207166707"/>
    <n v="259.02416967508964"/>
    <n v="3409.8242710690038"/>
  </r>
  <r>
    <x v="3"/>
    <s v="St. Johns"/>
    <n v="52556.139025480552"/>
    <n v="4064.494095565944"/>
    <n v="780.08683219962995"/>
    <n v="6500.580714471138"/>
  </r>
  <r>
    <x v="3"/>
    <s v="Volusia"/>
    <n v="154879.68483297067"/>
    <n v="14073.329899662438"/>
    <n v="4496.0008024060198"/>
    <n v="25162.355616299224"/>
  </r>
  <r>
    <x v="4"/>
    <s v="Pasco"/>
    <n v="137424.71422707697"/>
    <n v="12662.092407315175"/>
    <n v="2471.6713751409643"/>
    <n v="21516.314108962451"/>
  </r>
  <r>
    <x v="4"/>
    <s v="Pinellas"/>
    <n v="291805.02071196731"/>
    <n v="28585.1961741263"/>
    <n v="8462.6543963365239"/>
    <n v="46871.315072521495"/>
  </r>
  <r>
    <x v="5"/>
    <s v="Hardee"/>
    <n v="5141.7703971119126"/>
    <n v="1068.3850950630838"/>
    <n v="584.96349673823511"/>
    <n v="1057.5272447960672"/>
  </r>
  <r>
    <x v="5"/>
    <s v="Highlands"/>
    <n v="40711.391343168092"/>
    <n v="4744.5884851897481"/>
    <n v="1492.8464157827573"/>
    <n v="5884.2551530078445"/>
  </r>
  <r>
    <x v="5"/>
    <s v="Hillsborough"/>
    <n v="245058.87196295807"/>
    <n v="27679.909480119415"/>
    <n v="20975.858993223468"/>
    <n v="43567.541568630833"/>
  </r>
  <r>
    <x v="5"/>
    <s v="Manatee"/>
    <n v="112055.77100892593"/>
    <n v="8855.9612280425845"/>
    <n v="2360.2268300821129"/>
    <n v="14436.258660455775"/>
  </r>
  <r>
    <x v="5"/>
    <s v="Polk"/>
    <n v="163319.24539874398"/>
    <n v="15907.634140358716"/>
    <n v="7842.1102680255681"/>
    <n v="27425.213428482297"/>
  </r>
  <r>
    <x v="6"/>
    <s v="Brevard"/>
    <n v="164086.7858947576"/>
    <n v="13151.244379136231"/>
    <n v="4388.9731661334799"/>
    <n v="26136.453130861009"/>
  </r>
  <r>
    <x v="6"/>
    <s v="Orange"/>
    <n v="195977.0609220824"/>
    <n v="20540.276572444851"/>
    <n v="20327.539479851479"/>
    <n v="31368.725217703086"/>
  </r>
  <r>
    <x v="6"/>
    <s v="Osceola"/>
    <n v="53719.918612327601"/>
    <n v="6059.5615361039672"/>
    <n v="6753.2023847264409"/>
    <n v="10725.471581655758"/>
  </r>
  <r>
    <x v="6"/>
    <s v="Seminole"/>
    <n v="88878.288048928123"/>
    <n v="6845.5598447961029"/>
    <n v="3960.2579440945105"/>
    <n v="13215.824985581188"/>
  </r>
  <r>
    <x v="7"/>
    <s v="Charlotte"/>
    <n v="74935.339565157177"/>
    <n v="5130.8560662857381"/>
    <n v="1426.6928631154904"/>
    <n v="10233.969365320674"/>
  </r>
  <r>
    <x v="7"/>
    <s v="Collier"/>
    <n v="118777.54304327052"/>
    <n v="8542.0084100128424"/>
    <n v="4104.6920133699914"/>
    <n v="13025.780198274977"/>
  </r>
  <r>
    <x v="7"/>
    <s v="DeSoto"/>
    <n v="8286.347906922696"/>
    <n v="1185.4213712525086"/>
    <n v="556.60592884077312"/>
    <n v="1538.8931827142151"/>
  </r>
  <r>
    <x v="7"/>
    <s v="Glades"/>
    <n v="3882.5635073648496"/>
    <n v="448.88063183354768"/>
    <n v="123.96036231108633"/>
    <n v="714.55158501051937"/>
  </r>
  <r>
    <x v="7"/>
    <s v="Hendry"/>
    <n v="6691.3630412493103"/>
    <n v="1136.2699480401097"/>
    <n v="1110.6143678622861"/>
    <n v="1681.1358384626367"/>
  </r>
  <r>
    <x v="7"/>
    <s v="Lee"/>
    <n v="211236.91506356475"/>
    <n v="15778.789096748642"/>
    <n v="5830.4182740269162"/>
    <n v="27209.201904948535"/>
  </r>
  <r>
    <x v="7"/>
    <s v="Sarasota"/>
    <n v="161615.50370047888"/>
    <n v="11498.585965084872"/>
    <n v="2237.502039714288"/>
    <n v="20250.319399936936"/>
  </r>
  <r>
    <x v="8"/>
    <s v="Indian River"/>
    <n v="51979.301044926244"/>
    <n v="4068.6170872280327"/>
    <n v="1004.2912841870813"/>
    <n v="7122.5124713828873"/>
  </r>
  <r>
    <x v="8"/>
    <s v="Martin"/>
    <n v="55084.972844879383"/>
    <n v="3615.1180958219311"/>
    <n v="870.58080571255346"/>
    <n v="6567.5961179179503"/>
  </r>
  <r>
    <x v="8"/>
    <s v="Okeechobee"/>
    <n v="9498.4545204726583"/>
    <n v="1408.0558820076619"/>
    <n v="366.43762342069476"/>
    <n v="2151.2179227551314"/>
  </r>
  <r>
    <x v="8"/>
    <s v="Palm Beach"/>
    <n v="401486.06251683517"/>
    <n v="36127.337586965223"/>
    <n v="18978.933250554412"/>
    <n v="57138.735006702402"/>
  </r>
  <r>
    <x v="8"/>
    <s v="St. Lucie"/>
    <n v="78861.137424183136"/>
    <n v="7418.6759874289846"/>
    <n v="4215.8891953523444"/>
    <n v="12118.401340484967"/>
  </r>
  <r>
    <x v="9"/>
    <s v="Broward"/>
    <n v="401200.68067629344"/>
    <n v="51046.137239331278"/>
    <n v="38821.268677798384"/>
    <n v="70532.61630884622"/>
  </r>
  <r>
    <x v="10"/>
    <s v="Miami-Dade"/>
    <n v="549917.46267795237"/>
    <n v="113467.27400899208"/>
    <n v="142321.74811026827"/>
    <n v="101758.25770582"/>
  </r>
  <r>
    <x v="10"/>
    <s v="Monroe"/>
    <n v="22092.260104452027"/>
    <n v="2262.885394837172"/>
    <n v="765.86449784287095"/>
    <n v="2620.7375691803263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count="67">
  <r>
    <x v="0"/>
    <s v="Escambia"/>
    <n v="6527"/>
    <n v="18247.050999999999"/>
  </r>
  <r>
    <x v="0"/>
    <s v="Okaloosa"/>
    <n v="2512"/>
    <n v="1538"/>
  </r>
  <r>
    <x v="0"/>
    <s v="Santa Rosa"/>
    <n v="2313"/>
    <n v="6197"/>
  </r>
  <r>
    <x v="0"/>
    <s v="Walton"/>
    <n v="1387"/>
    <n v="2783.2959999999998"/>
  </r>
  <r>
    <x v="1"/>
    <s v="Bay"/>
    <n v="3307"/>
    <n v="16557"/>
  </r>
  <r>
    <x v="1"/>
    <s v="Calhoun"/>
    <n v="513"/>
    <n v="949.10599999999999"/>
  </r>
  <r>
    <x v="1"/>
    <s v="Franklin"/>
    <n v="473"/>
    <n v="878.19499999999994"/>
  </r>
  <r>
    <x v="1"/>
    <s v="Gadsden"/>
    <n v="1601"/>
    <n v="6183"/>
  </r>
  <r>
    <x v="1"/>
    <s v="Gulf"/>
    <n v="449"/>
    <n v="508.464"/>
  </r>
  <r>
    <x v="1"/>
    <s v="Holmes"/>
    <n v="741"/>
    <n v="1576.6659999999999"/>
  </r>
  <r>
    <x v="1"/>
    <s v="Jackson"/>
    <n v="1587"/>
    <n v="3178"/>
  </r>
  <r>
    <x v="1"/>
    <s v="Jefferson"/>
    <n v="370"/>
    <n v="1141.9380000000001"/>
  </r>
  <r>
    <x v="1"/>
    <s v="Leon"/>
    <n v="3498"/>
    <n v="8952.366"/>
  </r>
  <r>
    <x v="1"/>
    <s v="Liberty"/>
    <n v="225"/>
    <n v="703.49399999999991"/>
  </r>
  <r>
    <x v="1"/>
    <s v="Madison"/>
    <n v="639"/>
    <n v="2906.9690000000001"/>
  </r>
  <r>
    <x v="1"/>
    <s v="Taylor"/>
    <n v="641"/>
    <n v="3173"/>
  </r>
  <r>
    <x v="1"/>
    <s v="Wakulla"/>
    <n v="498"/>
    <n v="3893"/>
  </r>
  <r>
    <x v="1"/>
    <s v="Washington"/>
    <n v="605"/>
    <n v="3376.0499999999997"/>
  </r>
  <r>
    <x v="2"/>
    <s v="Alachua"/>
    <n v="4673"/>
    <n v="10573.712"/>
  </r>
  <r>
    <x v="2"/>
    <s v="Bradford"/>
    <n v="1004"/>
    <n v="3290"/>
  </r>
  <r>
    <x v="2"/>
    <s v="Citrus"/>
    <n v="5473"/>
    <n v="18008.114999999998"/>
  </r>
  <r>
    <x v="2"/>
    <s v="Columbia"/>
    <n v="1540"/>
    <n v="4565.2790000000005"/>
  </r>
  <r>
    <x v="2"/>
    <s v="Dixie"/>
    <n v="517"/>
    <n v="2855"/>
  </r>
  <r>
    <x v="2"/>
    <s v="Gilchrist"/>
    <n v="684"/>
    <n v="1135"/>
  </r>
  <r>
    <x v="2"/>
    <s v="Hamilton"/>
    <n v="412"/>
    <n v="1712.1089999999999"/>
  </r>
  <r>
    <x v="2"/>
    <s v="Hernando"/>
    <n v="4524"/>
    <n v="15525"/>
  </r>
  <r>
    <x v="2"/>
    <s v="Lafayette"/>
    <n v="257"/>
    <n v="804"/>
  </r>
  <r>
    <x v="2"/>
    <s v="Lake"/>
    <n v="7269"/>
    <n v="27653.494000000002"/>
  </r>
  <r>
    <x v="2"/>
    <s v="Levy"/>
    <n v="1514"/>
    <n v="3417"/>
  </r>
  <r>
    <x v="2"/>
    <s v="Marion"/>
    <n v="10730"/>
    <n v="31644"/>
  </r>
  <r>
    <x v="2"/>
    <s v="Putnam"/>
    <n v="2789"/>
    <n v="6524"/>
  </r>
  <r>
    <x v="2"/>
    <s v="Sumter"/>
    <n v="3747"/>
    <n v="16523"/>
  </r>
  <r>
    <x v="2"/>
    <s v="Suwannee"/>
    <n v="1703"/>
    <n v="7736.9140000000007"/>
  </r>
  <r>
    <x v="2"/>
    <s v="Union"/>
    <n v="372"/>
    <n v="845"/>
  </r>
  <r>
    <x v="3"/>
    <s v="Baker"/>
    <n v="519"/>
    <n v="2595"/>
  </r>
  <r>
    <x v="3"/>
    <s v="Clay"/>
    <n v="2537"/>
    <n v="1659"/>
  </r>
  <r>
    <x v="3"/>
    <s v="Duval"/>
    <n v="16501"/>
    <n v="12791.253000000001"/>
  </r>
  <r>
    <x v="3"/>
    <s v="Flagler"/>
    <n v="3059"/>
    <n v="7946"/>
  </r>
  <r>
    <x v="3"/>
    <s v="Nassau"/>
    <n v="1697"/>
    <n v="10885"/>
  </r>
  <r>
    <x v="3"/>
    <s v="St. Johns"/>
    <n v="3846"/>
    <n v="2373"/>
  </r>
  <r>
    <x v="3"/>
    <s v="Volusia"/>
    <n v="13604"/>
    <n v="37679"/>
  </r>
  <r>
    <x v="4"/>
    <s v="Pasco"/>
    <n v="12584"/>
    <n v="31433.092000000001"/>
  </r>
  <r>
    <x v="4"/>
    <s v="Pinellas"/>
    <n v="27129"/>
    <n v="19377.664000000001"/>
  </r>
  <r>
    <x v="5"/>
    <s v="Hardee"/>
    <n v="986"/>
    <n v="3368.1410000000001"/>
  </r>
  <r>
    <x v="5"/>
    <s v="Highlands"/>
    <n v="4678"/>
    <n v="13871.76"/>
  </r>
  <r>
    <x v="5"/>
    <s v="Hillsborough"/>
    <n v="26411"/>
    <n v="24697.041999999998"/>
  </r>
  <r>
    <x v="5"/>
    <s v="Manatee"/>
    <n v="8533"/>
    <n v="24171"/>
  </r>
  <r>
    <x v="5"/>
    <s v="Polk"/>
    <n v="15747"/>
    <n v="42115.78"/>
  </r>
  <r>
    <x v="6"/>
    <s v="Brevard"/>
    <n v="12571"/>
    <n v="32899"/>
  </r>
  <r>
    <x v="6"/>
    <s v="Orange"/>
    <n v="20009"/>
    <n v="21278.466"/>
  </r>
  <r>
    <x v="6"/>
    <s v="Osceola"/>
    <n v="5459"/>
    <n v="31838"/>
  </r>
  <r>
    <x v="6"/>
    <s v="Seminole"/>
    <n v="6489"/>
    <n v="4261"/>
  </r>
  <r>
    <x v="7"/>
    <s v="Charlotte"/>
    <n v="5285"/>
    <n v="15596"/>
  </r>
  <r>
    <x v="7"/>
    <s v="Collier"/>
    <n v="8637"/>
    <n v="23317"/>
  </r>
  <r>
    <x v="7"/>
    <s v="DeSoto"/>
    <n v="1294"/>
    <n v="2358.558"/>
  </r>
  <r>
    <x v="7"/>
    <s v="Glades"/>
    <n v="460"/>
    <n v="2669.7470000000003"/>
  </r>
  <r>
    <x v="7"/>
    <s v="Hendry"/>
    <n v="1025"/>
    <n v="946"/>
  </r>
  <r>
    <x v="7"/>
    <s v="Lee"/>
    <n v="15971"/>
    <n v="40279"/>
  </r>
  <r>
    <x v="7"/>
    <s v="Sarasota"/>
    <n v="11621"/>
    <n v="7914.8220000000001"/>
  </r>
  <r>
    <x v="8"/>
    <s v="Indian River"/>
    <n v="3942"/>
    <n v="5521.1693802297541"/>
  </r>
  <r>
    <x v="8"/>
    <s v="Martin"/>
    <n v="3690"/>
    <n v="2282.88"/>
  </r>
  <r>
    <x v="8"/>
    <s v="Okeechobee"/>
    <n v="1359"/>
    <n v="2625"/>
  </r>
  <r>
    <x v="8"/>
    <s v="Palm Beach"/>
    <n v="34595"/>
    <n v="29715.066000000003"/>
  </r>
  <r>
    <x v="8"/>
    <s v="St. Lucie"/>
    <n v="7682"/>
    <n v="18417"/>
  </r>
  <r>
    <x v="9"/>
    <s v="Broward"/>
    <n v="48593"/>
    <n v="40636.978999999999"/>
  </r>
  <r>
    <x v="10"/>
    <s v="Miami-Dade"/>
    <n v="106829"/>
    <n v="113000.28499999997"/>
  </r>
  <r>
    <x v="10"/>
    <s v="Monroe"/>
    <n v="2258"/>
    <n v="1208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4" applyNumberFormats="0" applyBorderFormats="0" applyFontFormats="0" applyPatternFormats="0" applyAlignmentFormats="0" applyWidthHeightFormats="1" dataCaption="Values" updatedVersion="5" minRefreshableVersion="3" showCalcMbrs="0" useAutoFormatting="1" itemPrintTitles="1" createdVersion="3" indent="0" outline="1" outlineData="1" multipleFieldFilters="0" rowHeaderCaption="PSA">
  <location ref="A3:E16" firstHeaderRow="1" firstDataRow="2" firstDataCol="1"/>
  <pivotFields count="6">
    <pivotField axis="axisRow" showAl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t="default"/>
      </items>
    </pivotField>
    <pivotField showAll="0"/>
    <pivotField dataField="1" numFmtId="165" showAll="0" defaultSubtotal="0"/>
    <pivotField dataField="1" numFmtId="165" showAll="0" defaultSubtotal="0"/>
    <pivotField dataField="1" numFmtId="165" showAll="0" defaultSubtotal="0"/>
    <pivotField dataField="1" showAll="0" defaultSubtotal="0"/>
  </pivotFields>
  <rowFields count="1">
    <field x="0"/>
  </rowFields>
  <rowItems count="1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dataFields count="4">
    <dataField name="Sum of Population 60+" fld="2" baseField="0" baseItem="0"/>
    <dataField name="Sum of Population 60+ Below Federal Poverty Level (FPL)" fld="3" baseField="0" baseItem="0"/>
    <dataField name="Sum of Minority Population 60+ Below 125% FPL" fld="4" baseField="0" baseItem="0"/>
    <dataField name="Sum of Population 60+ With 2 or More Disabilities" fld="5" baseField="0" baseItem="0"/>
  </dataFields>
  <formats count="10">
    <format dxfId="26">
      <pivotArea type="all" dataOnly="0" outline="0" fieldPosition="0"/>
    </format>
    <format dxfId="25">
      <pivotArea type="all" dataOnly="0" outline="0" fieldPosition="0"/>
    </format>
    <format dxfId="24">
      <pivotArea outline="0" collapsedLevelsAreSubtotals="1" fieldPosition="0"/>
    </format>
    <format dxfId="23">
      <pivotArea type="all" dataOnly="0" outline="0" fieldPosition="0"/>
    </format>
    <format dxfId="22">
      <pivotArea type="all" dataOnly="0" outline="0" fieldPosition="0"/>
    </format>
    <format dxfId="21">
      <pivotArea type="all" dataOnly="0" outline="0" fieldPosition="0"/>
    </format>
    <format dxfId="20">
      <pivotArea field="0" type="button" dataOnly="0" labelOnly="1" outline="0" axis="axisRow" fieldPosition="0"/>
    </format>
    <format dxfId="19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18">
      <pivotArea dataOnly="0" labelOnly="1" outline="0" fieldPosition="0">
        <references count="1">
          <reference field="4294967294" count="1">
            <x v="2"/>
          </reference>
        </references>
      </pivotArea>
    </format>
    <format dxfId="17">
      <pivotArea dataOnly="0" labelOnly="1" outline="0" fieldPosition="0">
        <references count="1">
          <reference field="4294967294" count="1">
            <x v="3"/>
          </reference>
        </references>
      </pivotArea>
    </format>
  </formats>
  <pivotTableStyleInfo name="PivotStyleLight16" showRowHeaders="1" showColHeaders="1" showRowStripes="0" showColStripes="0" showLastColumn="1"/>
</pivotTableDefinition>
</file>

<file path=xl/pivotTables/pivotTable2.xml><?xml version="1.0" encoding="utf-8"?>
<pivotTableDefinition xmlns="http://schemas.openxmlformats.org/spreadsheetml/2006/main" name="PivotTable1" cacheId="5" applyNumberFormats="0" applyBorderFormats="0" applyFontFormats="0" applyPatternFormats="0" applyAlignmentFormats="0" applyWidthHeightFormats="1" dataCaption="Values" updatedVersion="5" minRefreshableVersion="3" showCalcMbrs="0" useAutoFormatting="1" itemPrintTitles="1" createdVersion="3" indent="0" outline="1" outlineData="1" multipleFieldFilters="0">
  <location ref="A3:C16" firstHeaderRow="1" firstDataRow="2" firstDataCol="1"/>
  <pivotFields count="4">
    <pivotField axis="axisRow" showAl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t="default"/>
      </items>
    </pivotField>
    <pivotField showAll="0"/>
    <pivotField dataField="1" showAll="0" defaultSubtotal="0"/>
    <pivotField dataField="1" numFmtId="165" showAll="0"/>
  </pivotFields>
  <rowFields count="1">
    <field x="0"/>
  </rowFields>
  <rowItems count="1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 t="grand">
      <x/>
    </i>
  </rowItems>
  <colFields count="1">
    <field x="-2"/>
  </colFields>
  <colItems count="2">
    <i>
      <x/>
    </i>
    <i i="1">
      <x v="1"/>
    </i>
  </colItems>
  <dataFields count="2">
    <dataField name="Sum of People Age 65 &amp; Over Living in Medically Underserved Areas &amp; Populations" fld="3" baseField="0" baseItem="0"/>
    <dataField name="Sum of Population 60+ Below Federal Poverty Level (FPL)2" fld="2" baseField="0" baseItem="0"/>
  </dataFields>
  <formats count="7">
    <format dxfId="16">
      <pivotArea outline="0" collapsedLevelsAreSubtotals="1" fieldPosition="0"/>
    </format>
    <format dxfId="15">
      <pivotArea field="0" type="button" dataOnly="0" labelOnly="1" outline="0" axis="axisRow" fieldPosition="0"/>
    </format>
    <format dxfId="14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13">
      <pivotArea type="all" dataOnly="0" outline="0" fieldPosition="0"/>
    </format>
    <format dxfId="12">
      <pivotArea type="all" dataOnly="0" outline="0" fieldPosition="0"/>
    </format>
    <format dxfId="11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10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pivotTableStyleInfo name="PivotStyleLight16" showRowHeaders="1" showColHeaders="1" showRowStripes="0" showColStripes="0" showLastColumn="1"/>
</pivotTableDefinition>
</file>

<file path=xl/pivotTables/pivotTable3.xml><?xml version="1.0" encoding="utf-8"?>
<pivotTableDefinition xmlns="http://schemas.openxmlformats.org/spreadsheetml/2006/main" name="PivotTable1" cacheId="3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 rowHeaderCaption="PSA">
  <location ref="A3:E16" firstHeaderRow="1" firstDataRow="2" firstDataCol="1"/>
  <pivotFields count="6">
    <pivotField axis="axisRow" showAl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t="default"/>
      </items>
    </pivotField>
    <pivotField showAll="0"/>
    <pivotField dataField="1" numFmtId="3" showAll="0"/>
    <pivotField dataField="1" numFmtId="3" showAll="0"/>
    <pivotField dataField="1" numFmtId="3" showAll="0"/>
    <pivotField dataField="1" numFmtId="3" showAll="0"/>
  </pivotFields>
  <rowFields count="1">
    <field x="0"/>
  </rowFields>
  <rowItems count="1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dataFields count="4">
    <dataField name="Sum of 60+" fld="2" baseField="0" baseItem="0" numFmtId="41"/>
    <dataField name="Sum of Low Income 60+" fld="3" baseField="0" baseItem="0" numFmtId="41"/>
    <dataField name="Sum of Minority 60+ 125% PL" fld="4" baseField="0" baseItem="0" numFmtId="41"/>
    <dataField name="Sum of Mobility &amp; Self Care Limitations 60+" fld="5" baseField="0" baseItem="0" numFmtId="41"/>
  </dataFields>
  <formats count="10">
    <format dxfId="9">
      <pivotArea type="all" dataOnly="0" outline="0" fieldPosition="0"/>
    </format>
    <format dxfId="8">
      <pivotArea type="all" dataOnly="0" outline="0" fieldPosition="0"/>
    </format>
    <format dxfId="7">
      <pivotArea outline="0" fieldPosition="0">
        <references count="1">
          <reference field="4294967294" count="1">
            <x v="0"/>
          </reference>
        </references>
      </pivotArea>
    </format>
    <format dxfId="6">
      <pivotArea outline="0" collapsedLevelsAreSubtotals="1" fieldPosition="0">
        <references count="1">
          <reference field="4294967294" count="3" selected="0">
            <x v="1"/>
            <x v="2"/>
            <x v="3"/>
          </reference>
        </references>
      </pivotArea>
    </format>
    <format dxfId="5">
      <pivotArea field="0" type="button" dataOnly="0" labelOnly="1" outline="0" axis="axisRow" fieldPosition="0"/>
    </format>
    <format dxfId="4">
      <pivotArea dataOnly="0" labelOnly="1" outline="0" fieldPosition="0">
        <references count="1">
          <reference field="4294967294" count="4">
            <x v="0"/>
            <x v="1"/>
            <x v="2"/>
            <x v="3"/>
          </reference>
        </references>
      </pivotArea>
    </format>
    <format dxfId="3">
      <pivotArea type="origin" dataOnly="0" labelOnly="1" outline="0" fieldPosition="0"/>
    </format>
    <format dxfId="2">
      <pivotArea field="0" type="button" dataOnly="0" labelOnly="1" outline="0" axis="axisRow" fieldPosition="0"/>
    </format>
    <format dxfId="1">
      <pivotArea dataOnly="0" labelOnly="1" fieldPosition="0">
        <references count="1">
          <reference field="0" count="0"/>
        </references>
      </pivotArea>
    </format>
    <format dxfId="0">
      <pivotArea dataOnly="0" labelOnly="1" grandRow="1" outline="0" fieldPosition="0"/>
    </format>
  </format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pivotTable" Target="../pivotTables/pivotTable3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ivotTable" Target="../pivotTables/pivotTable2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36"/>
  <sheetViews>
    <sheetView tabSelected="1" zoomScale="90" zoomScaleNormal="90" workbookViewId="0">
      <selection activeCell="O12" sqref="O12"/>
    </sheetView>
  </sheetViews>
  <sheetFormatPr defaultRowHeight="15.75"/>
  <cols>
    <col min="1" max="1" width="1.44140625" style="71" customWidth="1"/>
    <col min="2" max="2" width="4.5546875" style="71" customWidth="1"/>
    <col min="3" max="3" width="13.6640625" style="71" customWidth="1"/>
    <col min="4" max="6" width="13.6640625" style="71" hidden="1" customWidth="1"/>
    <col min="7" max="7" width="13.6640625" style="71" customWidth="1"/>
    <col min="8" max="10" width="13.6640625" style="71" hidden="1" customWidth="1"/>
    <col min="11" max="11" width="13.6640625" style="71" customWidth="1"/>
    <col min="12" max="14" width="13.6640625" style="71" hidden="1" customWidth="1"/>
    <col min="15" max="15" width="13.6640625" style="71" customWidth="1"/>
    <col min="16" max="17" width="13.6640625" style="71" hidden="1" customWidth="1"/>
    <col min="18" max="18" width="13.6640625" style="71" customWidth="1"/>
    <col min="19" max="20" width="13.6640625" style="71" hidden="1" customWidth="1"/>
    <col min="21" max="21" width="13.6640625" style="71" customWidth="1"/>
    <col min="22" max="23" width="13.6640625" style="71" hidden="1" customWidth="1"/>
    <col min="24" max="26" width="13.6640625" style="71" customWidth="1"/>
  </cols>
  <sheetData>
    <row r="1" spans="1:28" ht="18.75">
      <c r="A1" s="119" t="str">
        <f>+'2016 Award #2'!A2</f>
        <v>Grant Award: 2016 Older Americans Act Allocation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119"/>
      <c r="T1" s="119"/>
      <c r="U1" s="119"/>
      <c r="V1" s="119"/>
      <c r="W1" s="119"/>
      <c r="X1" s="119"/>
      <c r="Y1" s="119"/>
      <c r="Z1" s="119"/>
    </row>
    <row r="2" spans="1:28">
      <c r="A2" s="120" t="s">
        <v>139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120"/>
      <c r="Y2" s="120"/>
      <c r="Z2" s="120"/>
    </row>
    <row r="3" spans="1:28">
      <c r="A3" s="121" t="s">
        <v>270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</row>
    <row r="4" spans="1:28">
      <c r="A4" s="50"/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</row>
    <row r="5" spans="1:28" ht="16.5" thickBot="1">
      <c r="A5" s="50"/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</row>
    <row r="6" spans="1:28">
      <c r="A6" s="66"/>
      <c r="B6" s="66"/>
      <c r="C6" s="77"/>
      <c r="D6" s="77"/>
      <c r="E6" s="77"/>
      <c r="F6" s="321"/>
      <c r="G6" s="77"/>
      <c r="H6" s="77"/>
      <c r="I6" s="77"/>
      <c r="J6" s="321"/>
      <c r="K6" s="77"/>
      <c r="L6" s="77"/>
      <c r="M6" s="77"/>
      <c r="N6" s="321"/>
      <c r="O6" s="77"/>
      <c r="P6" s="77"/>
      <c r="Q6" s="321"/>
      <c r="R6" s="77"/>
      <c r="S6" s="77"/>
      <c r="T6" s="321"/>
      <c r="U6" s="77"/>
      <c r="V6" s="77"/>
      <c r="W6" s="321"/>
      <c r="X6" s="77"/>
      <c r="Y6" s="77"/>
      <c r="Z6" s="326"/>
    </row>
    <row r="7" spans="1:28">
      <c r="A7" s="51"/>
      <c r="B7" s="51"/>
      <c r="C7" s="78">
        <v>2016</v>
      </c>
      <c r="D7" s="78">
        <v>2014</v>
      </c>
      <c r="E7" s="78">
        <v>2014</v>
      </c>
      <c r="F7" s="322">
        <v>2016</v>
      </c>
      <c r="G7" s="78">
        <v>2016</v>
      </c>
      <c r="H7" s="78">
        <v>2014</v>
      </c>
      <c r="I7" s="78">
        <v>2014</v>
      </c>
      <c r="J7" s="322">
        <v>2016</v>
      </c>
      <c r="K7" s="78">
        <v>2016</v>
      </c>
      <c r="L7" s="78">
        <v>2014</v>
      </c>
      <c r="M7" s="78">
        <v>2014</v>
      </c>
      <c r="N7" s="322">
        <v>2016</v>
      </c>
      <c r="O7" s="78">
        <v>2016</v>
      </c>
      <c r="P7" s="78">
        <v>2014</v>
      </c>
      <c r="Q7" s="322">
        <v>2016</v>
      </c>
      <c r="R7" s="78">
        <v>2016</v>
      </c>
      <c r="S7" s="78">
        <v>2014</v>
      </c>
      <c r="T7" s="322">
        <v>2016</v>
      </c>
      <c r="U7" s="78">
        <v>2016</v>
      </c>
      <c r="V7" s="78">
        <v>2014</v>
      </c>
      <c r="W7" s="322">
        <v>2016</v>
      </c>
      <c r="X7" s="78">
        <v>2016</v>
      </c>
      <c r="Y7" s="78">
        <v>2016</v>
      </c>
      <c r="Z7" s="327">
        <v>2016</v>
      </c>
    </row>
    <row r="8" spans="1:28">
      <c r="A8" s="48"/>
      <c r="B8" s="48"/>
      <c r="C8" s="78" t="s">
        <v>187</v>
      </c>
      <c r="D8" s="78" t="s">
        <v>187</v>
      </c>
      <c r="E8" s="78" t="s">
        <v>257</v>
      </c>
      <c r="F8" s="322" t="s">
        <v>187</v>
      </c>
      <c r="G8" s="78" t="s">
        <v>188</v>
      </c>
      <c r="H8" s="78" t="s">
        <v>188</v>
      </c>
      <c r="I8" s="78" t="s">
        <v>257</v>
      </c>
      <c r="J8" s="322" t="s">
        <v>188</v>
      </c>
      <c r="K8" s="78" t="s">
        <v>189</v>
      </c>
      <c r="L8" s="78" t="s">
        <v>189</v>
      </c>
      <c r="M8" s="78" t="s">
        <v>257</v>
      </c>
      <c r="N8" s="322" t="s">
        <v>189</v>
      </c>
      <c r="O8" s="78" t="s">
        <v>245</v>
      </c>
      <c r="P8" s="78" t="s">
        <v>245</v>
      </c>
      <c r="Q8" s="322" t="s">
        <v>245</v>
      </c>
      <c r="R8" s="78" t="s">
        <v>190</v>
      </c>
      <c r="S8" s="78" t="s">
        <v>190</v>
      </c>
      <c r="T8" s="322" t="s">
        <v>190</v>
      </c>
      <c r="U8" s="78" t="s">
        <v>3</v>
      </c>
      <c r="V8" s="78" t="s">
        <v>231</v>
      </c>
      <c r="W8" s="322" t="s">
        <v>231</v>
      </c>
      <c r="X8" s="78" t="s">
        <v>4</v>
      </c>
      <c r="Y8" s="78" t="s">
        <v>1</v>
      </c>
      <c r="Z8" s="327" t="s">
        <v>3</v>
      </c>
    </row>
    <row r="9" spans="1:28">
      <c r="A9" s="48"/>
      <c r="B9" s="49" t="s">
        <v>5</v>
      </c>
      <c r="C9" s="78" t="s">
        <v>6</v>
      </c>
      <c r="D9" s="78" t="s">
        <v>255</v>
      </c>
      <c r="E9" s="78" t="s">
        <v>258</v>
      </c>
      <c r="F9" s="322" t="s">
        <v>1</v>
      </c>
      <c r="G9" s="78" t="s">
        <v>8</v>
      </c>
      <c r="H9" s="78" t="s">
        <v>255</v>
      </c>
      <c r="I9" s="78" t="s">
        <v>258</v>
      </c>
      <c r="J9" s="322" t="s">
        <v>1</v>
      </c>
      <c r="K9" s="78" t="s">
        <v>9</v>
      </c>
      <c r="L9" s="78" t="s">
        <v>255</v>
      </c>
      <c r="M9" s="78" t="s">
        <v>258</v>
      </c>
      <c r="N9" s="322" t="s">
        <v>1</v>
      </c>
      <c r="O9" s="78" t="s">
        <v>246</v>
      </c>
      <c r="P9" s="78" t="s">
        <v>255</v>
      </c>
      <c r="Q9" s="322" t="s">
        <v>1</v>
      </c>
      <c r="R9" s="78" t="s">
        <v>15</v>
      </c>
      <c r="S9" s="78" t="s">
        <v>255</v>
      </c>
      <c r="T9" s="322" t="s">
        <v>1</v>
      </c>
      <c r="U9" s="78" t="s">
        <v>10</v>
      </c>
      <c r="V9" s="78" t="s">
        <v>255</v>
      </c>
      <c r="W9" s="322" t="s">
        <v>1</v>
      </c>
      <c r="X9" s="78" t="s">
        <v>10</v>
      </c>
      <c r="Y9" s="78" t="s">
        <v>3</v>
      </c>
      <c r="Z9" s="327" t="s">
        <v>1</v>
      </c>
    </row>
    <row r="10" spans="1:28">
      <c r="A10" s="48"/>
      <c r="B10" s="48"/>
      <c r="C10" s="78" t="s">
        <v>12</v>
      </c>
      <c r="D10" s="78" t="s">
        <v>256</v>
      </c>
      <c r="E10" s="78" t="s">
        <v>259</v>
      </c>
      <c r="F10" s="322" t="s">
        <v>174</v>
      </c>
      <c r="G10" s="78" t="s">
        <v>13</v>
      </c>
      <c r="H10" s="78" t="s">
        <v>256</v>
      </c>
      <c r="I10" s="78" t="s">
        <v>259</v>
      </c>
      <c r="J10" s="322" t="s">
        <v>174</v>
      </c>
      <c r="K10" s="78" t="s">
        <v>13</v>
      </c>
      <c r="L10" s="78" t="s">
        <v>256</v>
      </c>
      <c r="M10" s="78" t="s">
        <v>259</v>
      </c>
      <c r="N10" s="322" t="s">
        <v>174</v>
      </c>
      <c r="O10" s="78" t="s">
        <v>247</v>
      </c>
      <c r="P10" s="78" t="s">
        <v>256</v>
      </c>
      <c r="Q10" s="322" t="s">
        <v>174</v>
      </c>
      <c r="R10" s="78" t="s">
        <v>14</v>
      </c>
      <c r="S10" s="78" t="s">
        <v>256</v>
      </c>
      <c r="T10" s="322" t="s">
        <v>174</v>
      </c>
      <c r="U10" s="78" t="s">
        <v>119</v>
      </c>
      <c r="V10" s="78" t="s">
        <v>256</v>
      </c>
      <c r="W10" s="322" t="s">
        <v>119</v>
      </c>
      <c r="X10" s="78" t="s">
        <v>119</v>
      </c>
      <c r="Y10" s="78" t="s">
        <v>248</v>
      </c>
      <c r="Z10" s="327" t="s">
        <v>11</v>
      </c>
    </row>
    <row r="11" spans="1:28" ht="16.5" thickBot="1">
      <c r="A11" s="48"/>
      <c r="B11" s="48"/>
      <c r="C11" s="78"/>
      <c r="D11" s="78"/>
      <c r="E11" s="78"/>
      <c r="F11" s="322"/>
      <c r="G11" s="78"/>
      <c r="H11" s="78"/>
      <c r="I11" s="78"/>
      <c r="J11" s="322"/>
      <c r="K11" s="78"/>
      <c r="L11" s="78"/>
      <c r="M11" s="78"/>
      <c r="N11" s="322"/>
      <c r="O11" s="78"/>
      <c r="P11" s="78"/>
      <c r="Q11" s="322"/>
      <c r="R11" s="78"/>
      <c r="S11" s="78"/>
      <c r="T11" s="322"/>
      <c r="U11" s="316"/>
      <c r="V11" s="316"/>
      <c r="W11" s="322"/>
      <c r="X11" s="316"/>
      <c r="Y11" s="316"/>
      <c r="Z11" s="328"/>
    </row>
    <row r="12" spans="1:28">
      <c r="A12" s="58"/>
      <c r="B12" s="97">
        <v>1</v>
      </c>
      <c r="C12" s="273">
        <f>+'2016 Svcs &amp; Admin Allocation'!H12</f>
        <v>708143</v>
      </c>
      <c r="D12" s="273"/>
      <c r="E12" s="273"/>
      <c r="F12" s="323">
        <f>SUM(C12:E12)</f>
        <v>708143</v>
      </c>
      <c r="G12" s="273">
        <f>+'2016 Svcs &amp; Admin Allocation'!L12</f>
        <v>864931</v>
      </c>
      <c r="H12" s="273"/>
      <c r="I12" s="273"/>
      <c r="J12" s="323">
        <f>SUM(G12:I12)</f>
        <v>864931</v>
      </c>
      <c r="K12" s="273">
        <f>+'2016 Svcs &amp; Admin Allocation'!P12</f>
        <v>445721</v>
      </c>
      <c r="L12" s="273"/>
      <c r="M12" s="273"/>
      <c r="N12" s="323">
        <f>SUM(K12:M12)</f>
        <v>445721</v>
      </c>
      <c r="O12" s="273">
        <f>+'2016 Title III-D Allocation'!G8</f>
        <v>84180</v>
      </c>
      <c r="P12" s="273"/>
      <c r="Q12" s="323">
        <f>+O12+P12</f>
        <v>84180</v>
      </c>
      <c r="R12" s="273">
        <f>+'2016 Svcs &amp; Admin Allocation'!T12</f>
        <v>285160</v>
      </c>
      <c r="S12" s="273"/>
      <c r="T12" s="323">
        <f>+R12+S12</f>
        <v>285160</v>
      </c>
      <c r="U12" s="317">
        <f>+'2016 Svcs &amp; Admin Allocation'!U12</f>
        <v>345962</v>
      </c>
      <c r="V12" s="317"/>
      <c r="W12" s="323">
        <f>+U12+V12</f>
        <v>345962</v>
      </c>
      <c r="X12" s="317">
        <f>+'2016 Svcs &amp; Admin Allocation'!V12</f>
        <v>14570</v>
      </c>
      <c r="Y12" s="317">
        <f>+F12+J12+N12+Q12+T12</f>
        <v>2388135</v>
      </c>
      <c r="Z12" s="329">
        <f>+F12+J12+N12+Q12+T12+W12+X12</f>
        <v>2748667</v>
      </c>
      <c r="AA12" s="333"/>
      <c r="AB12" s="333"/>
    </row>
    <row r="13" spans="1:28">
      <c r="A13" s="59"/>
      <c r="B13" s="98">
        <v>2</v>
      </c>
      <c r="C13" s="315">
        <f>+'2016 Svcs &amp; Admin Allocation'!H13</f>
        <v>816746</v>
      </c>
      <c r="D13" s="315"/>
      <c r="E13" s="315"/>
      <c r="F13" s="324">
        <f t="shared" ref="F13:F22" si="0">SUM(C13:E13)</f>
        <v>816746</v>
      </c>
      <c r="G13" s="315">
        <f>+'2016 Svcs &amp; Admin Allocation'!L13</f>
        <v>990094</v>
      </c>
      <c r="H13" s="315"/>
      <c r="I13" s="315"/>
      <c r="J13" s="324">
        <f t="shared" ref="J13:J22" si="1">SUM(G13:I13)</f>
        <v>990094</v>
      </c>
      <c r="K13" s="315">
        <f>+'2016 Svcs &amp; Admin Allocation'!P13</f>
        <v>510590</v>
      </c>
      <c r="L13" s="315"/>
      <c r="M13" s="315"/>
      <c r="N13" s="324">
        <f t="shared" ref="N13:N22" si="2">SUM(K13:M13)</f>
        <v>510590</v>
      </c>
      <c r="O13" s="315">
        <f>+'2016 Title III-D Allocation'!G9</f>
        <v>73565</v>
      </c>
      <c r="P13" s="315"/>
      <c r="Q13" s="324">
        <f>+O13+P13</f>
        <v>73565</v>
      </c>
      <c r="R13" s="315">
        <f>+'2016 Svcs &amp; Admin Allocation'!T13</f>
        <v>328518</v>
      </c>
      <c r="S13" s="315"/>
      <c r="T13" s="324">
        <f>+R13+S13</f>
        <v>328518</v>
      </c>
      <c r="U13" s="318">
        <f>+'2016 Svcs &amp; Admin Allocation'!U13</f>
        <v>462134</v>
      </c>
      <c r="V13" s="318"/>
      <c r="W13" s="324">
        <f>+U13+V13</f>
        <v>462134</v>
      </c>
      <c r="X13" s="318">
        <f>+'2016 Svcs &amp; Admin Allocation'!V13</f>
        <v>19462</v>
      </c>
      <c r="Y13" s="317">
        <f t="shared" ref="Y13:Y22" si="3">+F13+J13+N13+Q13+T13</f>
        <v>2719513</v>
      </c>
      <c r="Z13" s="329">
        <f t="shared" ref="Z13:Z22" si="4">+F13+J13+N13+Q13+T13+W13+X13</f>
        <v>3201109</v>
      </c>
      <c r="AA13" s="333"/>
      <c r="AB13" s="333"/>
    </row>
    <row r="14" spans="1:28">
      <c r="A14" s="59"/>
      <c r="B14" s="98">
        <v>3</v>
      </c>
      <c r="C14" s="315">
        <f>+'2016 Svcs &amp; Admin Allocation'!H14</f>
        <v>2153938</v>
      </c>
      <c r="D14" s="315"/>
      <c r="E14" s="315"/>
      <c r="F14" s="324">
        <f t="shared" si="0"/>
        <v>2153938</v>
      </c>
      <c r="G14" s="315">
        <f>+'2016 Svcs &amp; Admin Allocation'!L14</f>
        <v>2685792</v>
      </c>
      <c r="H14" s="315"/>
      <c r="I14" s="315"/>
      <c r="J14" s="324">
        <f t="shared" si="1"/>
        <v>2685792</v>
      </c>
      <c r="K14" s="315">
        <f>+'2016 Svcs &amp; Admin Allocation'!P14</f>
        <v>1381336</v>
      </c>
      <c r="L14" s="315"/>
      <c r="M14" s="315"/>
      <c r="N14" s="324">
        <f t="shared" si="2"/>
        <v>1381336</v>
      </c>
      <c r="O14" s="315">
        <f>+'2016 Title III-D Allocation'!G10</f>
        <v>231850</v>
      </c>
      <c r="P14" s="315"/>
      <c r="Q14" s="324">
        <f t="shared" ref="Q14:Q22" si="5">+O14+P14</f>
        <v>231850</v>
      </c>
      <c r="R14" s="315">
        <f>+'2016 Svcs &amp; Admin Allocation'!T14</f>
        <v>870108</v>
      </c>
      <c r="S14" s="315"/>
      <c r="T14" s="324">
        <f t="shared" ref="T14:T22" si="6">+R14+S14</f>
        <v>870108</v>
      </c>
      <c r="U14" s="318">
        <f>+'2016 Svcs &amp; Admin Allocation'!U14</f>
        <v>909605</v>
      </c>
      <c r="V14" s="318"/>
      <c r="W14" s="324">
        <f t="shared" ref="W14:W22" si="7">+U14+V14</f>
        <v>909605</v>
      </c>
      <c r="X14" s="318">
        <f>+'2016 Svcs &amp; Admin Allocation'!V14</f>
        <v>38307</v>
      </c>
      <c r="Y14" s="317">
        <f t="shared" si="3"/>
        <v>7323024</v>
      </c>
      <c r="Z14" s="329">
        <f t="shared" si="4"/>
        <v>8270936</v>
      </c>
      <c r="AA14" s="333"/>
      <c r="AB14" s="333"/>
    </row>
    <row r="15" spans="1:28">
      <c r="A15" s="59"/>
      <c r="B15" s="98">
        <v>4</v>
      </c>
      <c r="C15" s="315">
        <f>+'2016 Svcs &amp; Admin Allocation'!H15</f>
        <v>1915309</v>
      </c>
      <c r="D15" s="315"/>
      <c r="E15" s="315"/>
      <c r="F15" s="324">
        <f t="shared" si="0"/>
        <v>1915309</v>
      </c>
      <c r="G15" s="315">
        <f>+'2016 Svcs &amp; Admin Allocation'!L15</f>
        <v>2412944</v>
      </c>
      <c r="H15" s="315"/>
      <c r="I15" s="315"/>
      <c r="J15" s="324">
        <f t="shared" si="1"/>
        <v>2412944</v>
      </c>
      <c r="K15" s="315">
        <f>+'2016 Svcs &amp; Admin Allocation'!P15</f>
        <v>1239810</v>
      </c>
      <c r="L15" s="315"/>
      <c r="M15" s="315"/>
      <c r="N15" s="324">
        <f t="shared" si="2"/>
        <v>1239810</v>
      </c>
      <c r="O15" s="315">
        <f>+'2016 Title III-D Allocation'!G11</f>
        <v>113582</v>
      </c>
      <c r="P15" s="315"/>
      <c r="Q15" s="324">
        <f t="shared" si="5"/>
        <v>113582</v>
      </c>
      <c r="R15" s="315">
        <f>+'2016 Svcs &amp; Admin Allocation'!T15</f>
        <v>774946</v>
      </c>
      <c r="S15" s="315"/>
      <c r="T15" s="324">
        <f t="shared" si="6"/>
        <v>774946</v>
      </c>
      <c r="U15" s="318">
        <f>+'2016 Svcs &amp; Admin Allocation'!U15</f>
        <v>742082</v>
      </c>
      <c r="V15" s="318"/>
      <c r="W15" s="324">
        <f t="shared" si="7"/>
        <v>742082</v>
      </c>
      <c r="X15" s="318">
        <f>+'2016 Svcs &amp; Admin Allocation'!V15</f>
        <v>31252</v>
      </c>
      <c r="Y15" s="317">
        <f t="shared" si="3"/>
        <v>6456591</v>
      </c>
      <c r="Z15" s="329">
        <f t="shared" si="4"/>
        <v>7229925</v>
      </c>
      <c r="AA15" s="333"/>
      <c r="AB15" s="333"/>
    </row>
    <row r="16" spans="1:28">
      <c r="A16" s="59"/>
      <c r="B16" s="98">
        <v>5</v>
      </c>
      <c r="C16" s="315">
        <f>+'2016 Svcs &amp; Admin Allocation'!H16</f>
        <v>1770881</v>
      </c>
      <c r="D16" s="315"/>
      <c r="E16" s="315"/>
      <c r="F16" s="324">
        <f t="shared" si="0"/>
        <v>1770881</v>
      </c>
      <c r="G16" s="315">
        <f>+'2016 Svcs &amp; Admin Allocation'!L16</f>
        <v>2207420</v>
      </c>
      <c r="H16" s="315"/>
      <c r="I16" s="315"/>
      <c r="J16" s="324">
        <f t="shared" si="1"/>
        <v>2207420</v>
      </c>
      <c r="K16" s="315">
        <f>+'2016 Svcs &amp; Admin Allocation'!P16</f>
        <v>1135339</v>
      </c>
      <c r="L16" s="315"/>
      <c r="M16" s="315"/>
      <c r="N16" s="324">
        <f t="shared" si="2"/>
        <v>1135339</v>
      </c>
      <c r="O16" s="315">
        <f>+'2016 Title III-D Allocation'!G12</f>
        <v>130092</v>
      </c>
      <c r="P16" s="315"/>
      <c r="Q16" s="324">
        <f t="shared" si="5"/>
        <v>130092</v>
      </c>
      <c r="R16" s="315">
        <f>+'2016 Svcs &amp; Admin Allocation'!T16</f>
        <v>715331</v>
      </c>
      <c r="S16" s="315"/>
      <c r="T16" s="324">
        <f t="shared" si="6"/>
        <v>715331</v>
      </c>
      <c r="U16" s="318">
        <f>+'2016 Svcs &amp; Admin Allocation'!U16</f>
        <v>657508</v>
      </c>
      <c r="V16" s="318"/>
      <c r="W16" s="324">
        <f t="shared" si="7"/>
        <v>657508</v>
      </c>
      <c r="X16" s="318">
        <f>+'2016 Svcs &amp; Admin Allocation'!V16</f>
        <v>27690</v>
      </c>
      <c r="Y16" s="317">
        <f t="shared" si="3"/>
        <v>5959063</v>
      </c>
      <c r="Z16" s="329">
        <f t="shared" si="4"/>
        <v>6644261</v>
      </c>
      <c r="AA16" s="333"/>
      <c r="AB16" s="333"/>
    </row>
    <row r="17" spans="1:28">
      <c r="A17" s="59"/>
      <c r="B17" s="98">
        <v>6</v>
      </c>
      <c r="C17" s="315">
        <f>+'2016 Svcs &amp; Admin Allocation'!H17</f>
        <v>2465240</v>
      </c>
      <c r="D17" s="315"/>
      <c r="E17" s="315"/>
      <c r="F17" s="324">
        <f t="shared" si="0"/>
        <v>2465240</v>
      </c>
      <c r="G17" s="315">
        <f>+'2016 Svcs &amp; Admin Allocation'!L17</f>
        <v>3107001</v>
      </c>
      <c r="H17" s="315"/>
      <c r="I17" s="315"/>
      <c r="J17" s="324">
        <f t="shared" si="1"/>
        <v>3107001</v>
      </c>
      <c r="K17" s="315">
        <f>+'2016 Svcs &amp; Admin Allocation'!P17</f>
        <v>1596368</v>
      </c>
      <c r="L17" s="315"/>
      <c r="M17" s="315"/>
      <c r="N17" s="324">
        <f t="shared" si="2"/>
        <v>1596368</v>
      </c>
      <c r="O17" s="315">
        <f>+'2016 Title III-D Allocation'!G13</f>
        <v>123513</v>
      </c>
      <c r="P17" s="315"/>
      <c r="Q17" s="324">
        <f t="shared" si="5"/>
        <v>123513</v>
      </c>
      <c r="R17" s="315">
        <f>+'2016 Svcs &amp; Admin Allocation'!T17</f>
        <v>997514</v>
      </c>
      <c r="S17" s="315"/>
      <c r="T17" s="324">
        <f t="shared" si="6"/>
        <v>997514</v>
      </c>
      <c r="U17" s="318">
        <f>+'2016 Svcs &amp; Admin Allocation'!U17</f>
        <v>878968</v>
      </c>
      <c r="V17" s="318"/>
      <c r="W17" s="324">
        <f t="shared" si="7"/>
        <v>878968</v>
      </c>
      <c r="X17" s="318">
        <f>+'2016 Svcs &amp; Admin Allocation'!V17</f>
        <v>37016</v>
      </c>
      <c r="Y17" s="317">
        <f t="shared" si="3"/>
        <v>8289636</v>
      </c>
      <c r="Z17" s="329">
        <f t="shared" si="4"/>
        <v>9205620</v>
      </c>
      <c r="AA17" s="333"/>
      <c r="AB17" s="333"/>
    </row>
    <row r="18" spans="1:28">
      <c r="A18" s="59"/>
      <c r="B18" s="98">
        <v>7</v>
      </c>
      <c r="C18" s="315">
        <f>+'2016 Svcs &amp; Admin Allocation'!H18</f>
        <v>1818618</v>
      </c>
      <c r="D18" s="315"/>
      <c r="E18" s="315"/>
      <c r="F18" s="324">
        <f t="shared" si="0"/>
        <v>1818618</v>
      </c>
      <c r="G18" s="315">
        <f>+'2016 Svcs &amp; Admin Allocation'!L18</f>
        <v>2387142</v>
      </c>
      <c r="H18" s="315"/>
      <c r="I18" s="315"/>
      <c r="J18" s="324">
        <f t="shared" si="1"/>
        <v>2387142</v>
      </c>
      <c r="K18" s="315">
        <f>+'2016 Svcs &amp; Admin Allocation'!P18</f>
        <v>1221950</v>
      </c>
      <c r="L18" s="315"/>
      <c r="M18" s="315"/>
      <c r="N18" s="324">
        <f t="shared" si="2"/>
        <v>1221950</v>
      </c>
      <c r="O18" s="315">
        <f>+'2016 Title III-D Allocation'!G14</f>
        <v>172657</v>
      </c>
      <c r="P18" s="315"/>
      <c r="Q18" s="324">
        <f t="shared" si="5"/>
        <v>172657</v>
      </c>
      <c r="R18" s="315">
        <f>+'2016 Svcs &amp; Admin Allocation'!T18</f>
        <v>740622</v>
      </c>
      <c r="S18" s="315"/>
      <c r="T18" s="324">
        <f t="shared" si="6"/>
        <v>740622</v>
      </c>
      <c r="U18" s="318">
        <f>+'2016 Svcs &amp; Admin Allocation'!U18</f>
        <v>692606</v>
      </c>
      <c r="V18" s="318"/>
      <c r="W18" s="324">
        <f t="shared" si="7"/>
        <v>692606</v>
      </c>
      <c r="X18" s="318">
        <f>+'2016 Svcs &amp; Admin Allocation'!V18</f>
        <v>29168</v>
      </c>
      <c r="Y18" s="317">
        <f t="shared" si="3"/>
        <v>6340989</v>
      </c>
      <c r="Z18" s="329">
        <f t="shared" si="4"/>
        <v>7062763</v>
      </c>
      <c r="AA18" s="333"/>
      <c r="AB18" s="333"/>
    </row>
    <row r="19" spans="1:28">
      <c r="A19" s="59"/>
      <c r="B19" s="98">
        <v>8</v>
      </c>
      <c r="C19" s="315">
        <f>+'2016 Svcs &amp; Admin Allocation'!H19</f>
        <v>1867297</v>
      </c>
      <c r="D19" s="315"/>
      <c r="E19" s="315"/>
      <c r="F19" s="324">
        <f t="shared" si="0"/>
        <v>1867297</v>
      </c>
      <c r="G19" s="315">
        <f>+'2016 Svcs &amp; Admin Allocation'!L19</f>
        <v>2398689</v>
      </c>
      <c r="H19" s="315"/>
      <c r="I19" s="315"/>
      <c r="J19" s="324">
        <f t="shared" si="1"/>
        <v>2398689</v>
      </c>
      <c r="K19" s="315">
        <f>+'2016 Svcs &amp; Admin Allocation'!P19</f>
        <v>1230270</v>
      </c>
      <c r="L19" s="315"/>
      <c r="M19" s="315"/>
      <c r="N19" s="324">
        <f t="shared" si="2"/>
        <v>1230270</v>
      </c>
      <c r="O19" s="315">
        <f>+'2016 Title III-D Allocation'!G15</f>
        <v>79462</v>
      </c>
      <c r="P19" s="315"/>
      <c r="Q19" s="324">
        <f t="shared" si="5"/>
        <v>79462</v>
      </c>
      <c r="R19" s="315">
        <f>+'2016 Svcs &amp; Admin Allocation'!T19</f>
        <v>757831</v>
      </c>
      <c r="S19" s="315"/>
      <c r="T19" s="324">
        <f t="shared" si="6"/>
        <v>757831</v>
      </c>
      <c r="U19" s="318">
        <f>+'2016 Svcs &amp; Admin Allocation'!U19</f>
        <v>765383</v>
      </c>
      <c r="V19" s="318"/>
      <c r="W19" s="324">
        <f t="shared" si="7"/>
        <v>765383</v>
      </c>
      <c r="X19" s="318">
        <f>+'2016 Svcs &amp; Admin Allocation'!V19</f>
        <v>32233</v>
      </c>
      <c r="Y19" s="317">
        <f t="shared" si="3"/>
        <v>6333549</v>
      </c>
      <c r="Z19" s="329">
        <f t="shared" si="4"/>
        <v>7131165</v>
      </c>
      <c r="AA19" s="333"/>
      <c r="AB19" s="333"/>
    </row>
    <row r="20" spans="1:28">
      <c r="A20" s="59"/>
      <c r="B20" s="98">
        <v>9</v>
      </c>
      <c r="C20" s="315">
        <f>+'2016 Svcs &amp; Admin Allocation'!H20</f>
        <v>2243381</v>
      </c>
      <c r="D20" s="315"/>
      <c r="E20" s="315"/>
      <c r="F20" s="324">
        <f t="shared" si="0"/>
        <v>2243381</v>
      </c>
      <c r="G20" s="315">
        <f>+'2016 Svcs &amp; Admin Allocation'!L20</f>
        <v>2849457</v>
      </c>
      <c r="H20" s="315"/>
      <c r="I20" s="315"/>
      <c r="J20" s="324">
        <f t="shared" si="1"/>
        <v>2849457</v>
      </c>
      <c r="K20" s="315">
        <f>+'2016 Svcs &amp; Admin Allocation'!P20</f>
        <v>1462985</v>
      </c>
      <c r="L20" s="315"/>
      <c r="M20" s="315"/>
      <c r="N20" s="324">
        <f t="shared" si="2"/>
        <v>1462985</v>
      </c>
      <c r="O20" s="315">
        <f>+'2016 Title III-D Allocation'!G16</f>
        <v>92469</v>
      </c>
      <c r="P20" s="315"/>
      <c r="Q20" s="324">
        <f t="shared" si="5"/>
        <v>92469</v>
      </c>
      <c r="R20" s="315">
        <f>+'2016 Svcs &amp; Admin Allocation'!T20</f>
        <v>908845</v>
      </c>
      <c r="S20" s="315"/>
      <c r="T20" s="324">
        <f t="shared" si="6"/>
        <v>908845</v>
      </c>
      <c r="U20" s="318">
        <f>+'2016 Svcs &amp; Admin Allocation'!U20</f>
        <v>830546</v>
      </c>
      <c r="V20" s="318"/>
      <c r="W20" s="324">
        <f t="shared" si="7"/>
        <v>830546</v>
      </c>
      <c r="X20" s="318">
        <f>+'2016 Svcs &amp; Admin Allocation'!V20</f>
        <v>34977</v>
      </c>
      <c r="Y20" s="317">
        <f t="shared" si="3"/>
        <v>7557137</v>
      </c>
      <c r="Z20" s="329">
        <f t="shared" si="4"/>
        <v>8422660</v>
      </c>
      <c r="AA20" s="333"/>
      <c r="AB20" s="333"/>
    </row>
    <row r="21" spans="1:28">
      <c r="A21" s="59"/>
      <c r="B21" s="98">
        <v>10</v>
      </c>
      <c r="C21" s="315">
        <f>+'2016 Svcs &amp; Admin Allocation'!H21</f>
        <v>1853342</v>
      </c>
      <c r="D21" s="315"/>
      <c r="E21" s="315"/>
      <c r="F21" s="324">
        <f t="shared" si="0"/>
        <v>1853342</v>
      </c>
      <c r="G21" s="315">
        <f>+'2016 Svcs &amp; Admin Allocation'!L21</f>
        <v>2392218</v>
      </c>
      <c r="H21" s="315"/>
      <c r="I21" s="315"/>
      <c r="J21" s="324">
        <f t="shared" si="1"/>
        <v>2392218</v>
      </c>
      <c r="K21" s="315">
        <f>+'2016 Svcs &amp; Admin Allocation'!P21</f>
        <v>1226411</v>
      </c>
      <c r="L21" s="315"/>
      <c r="M21" s="315"/>
      <c r="N21" s="324">
        <f t="shared" si="2"/>
        <v>1226411</v>
      </c>
      <c r="O21" s="315">
        <f>+'2016 Title III-D Allocation'!G17</f>
        <v>107083</v>
      </c>
      <c r="P21" s="315"/>
      <c r="Q21" s="324">
        <f t="shared" si="5"/>
        <v>107083</v>
      </c>
      <c r="R21" s="315">
        <f>+'2016 Svcs &amp; Admin Allocation'!T21</f>
        <v>752739</v>
      </c>
      <c r="S21" s="315"/>
      <c r="T21" s="324">
        <f t="shared" si="6"/>
        <v>752739</v>
      </c>
      <c r="U21" s="318">
        <f>+'2016 Svcs &amp; Admin Allocation'!U21</f>
        <v>660409</v>
      </c>
      <c r="V21" s="318"/>
      <c r="W21" s="324">
        <f t="shared" si="7"/>
        <v>660409</v>
      </c>
      <c r="X21" s="318">
        <f>+'2016 Svcs &amp; Admin Allocation'!V21</f>
        <v>27812</v>
      </c>
      <c r="Y21" s="317">
        <f t="shared" si="3"/>
        <v>6331793</v>
      </c>
      <c r="Z21" s="329">
        <f t="shared" si="4"/>
        <v>7020014</v>
      </c>
      <c r="AA21" s="333"/>
      <c r="AB21" s="333"/>
    </row>
    <row r="22" spans="1:28">
      <c r="A22" s="59"/>
      <c r="B22" s="98">
        <v>11</v>
      </c>
      <c r="C22" s="315">
        <f>+'2016 Svcs &amp; Admin Allocation'!H22</f>
        <v>4279571</v>
      </c>
      <c r="D22" s="315"/>
      <c r="E22" s="315"/>
      <c r="F22" s="324">
        <f t="shared" si="0"/>
        <v>4279571</v>
      </c>
      <c r="G22" s="315">
        <f>+'2016 Svcs &amp; Admin Allocation'!L22</f>
        <v>5435942</v>
      </c>
      <c r="H22" s="315"/>
      <c r="I22" s="315"/>
      <c r="J22" s="324">
        <f t="shared" si="1"/>
        <v>5435942</v>
      </c>
      <c r="K22" s="315">
        <f>+'2016 Svcs &amp; Admin Allocation'!P22</f>
        <v>2790943</v>
      </c>
      <c r="L22" s="315"/>
      <c r="M22" s="315"/>
      <c r="N22" s="324">
        <f t="shared" si="2"/>
        <v>2790943</v>
      </c>
      <c r="O22" s="315">
        <f>+'2016 Title III-D Allocation'!G18</f>
        <v>216516</v>
      </c>
      <c r="P22" s="315"/>
      <c r="Q22" s="324">
        <f t="shared" si="5"/>
        <v>216516</v>
      </c>
      <c r="R22" s="315">
        <f>+'2016 Svcs &amp; Admin Allocation'!T22</f>
        <v>1733761</v>
      </c>
      <c r="S22" s="315"/>
      <c r="T22" s="324">
        <f t="shared" si="6"/>
        <v>1733761</v>
      </c>
      <c r="U22" s="318">
        <f>+'2016 Svcs &amp; Admin Allocation'!U22</f>
        <v>1294371</v>
      </c>
      <c r="V22" s="318"/>
      <c r="W22" s="324">
        <f t="shared" si="7"/>
        <v>1294371</v>
      </c>
      <c r="X22" s="318">
        <f>+'2016 Svcs &amp; Admin Allocation'!V22</f>
        <v>54511</v>
      </c>
      <c r="Y22" s="317">
        <f t="shared" si="3"/>
        <v>14456733</v>
      </c>
      <c r="Z22" s="329">
        <f t="shared" si="4"/>
        <v>15805615</v>
      </c>
      <c r="AA22" s="333"/>
      <c r="AB22" s="333"/>
    </row>
    <row r="23" spans="1:28" ht="16.5" thickBot="1">
      <c r="A23" s="60"/>
      <c r="B23" s="60" t="s">
        <v>1</v>
      </c>
      <c r="C23" s="282">
        <f t="shared" ref="C23:Z23" si="8">SUM(C12:C22)</f>
        <v>21892466</v>
      </c>
      <c r="D23" s="282">
        <f t="shared" si="8"/>
        <v>0</v>
      </c>
      <c r="E23" s="282">
        <f t="shared" si="8"/>
        <v>0</v>
      </c>
      <c r="F23" s="325">
        <f t="shared" si="8"/>
        <v>21892466</v>
      </c>
      <c r="G23" s="282">
        <f t="shared" si="8"/>
        <v>27731630</v>
      </c>
      <c r="H23" s="282">
        <f t="shared" si="8"/>
        <v>0</v>
      </c>
      <c r="I23" s="282">
        <f t="shared" ref="I23" si="9">SUM(I12:I22)</f>
        <v>0</v>
      </c>
      <c r="J23" s="325">
        <f t="shared" ref="J23" si="10">SUM(J12:J22)</f>
        <v>27731630</v>
      </c>
      <c r="K23" s="282">
        <f t="shared" si="8"/>
        <v>14241723</v>
      </c>
      <c r="L23" s="282">
        <f t="shared" si="8"/>
        <v>0</v>
      </c>
      <c r="M23" s="282">
        <f t="shared" si="8"/>
        <v>0</v>
      </c>
      <c r="N23" s="325">
        <f t="shared" ref="N23" si="11">SUM(N12:N22)</f>
        <v>14241723</v>
      </c>
      <c r="O23" s="282">
        <f t="shared" si="8"/>
        <v>1424969</v>
      </c>
      <c r="P23" s="282">
        <f t="shared" si="8"/>
        <v>0</v>
      </c>
      <c r="Q23" s="325">
        <f t="shared" ref="Q23" si="12">SUM(Q12:Q22)</f>
        <v>1424969</v>
      </c>
      <c r="R23" s="282">
        <f t="shared" si="8"/>
        <v>8865375</v>
      </c>
      <c r="S23" s="282">
        <f t="shared" si="8"/>
        <v>0</v>
      </c>
      <c r="T23" s="325">
        <f t="shared" ref="T23" si="13">SUM(T12:T22)</f>
        <v>8865375</v>
      </c>
      <c r="U23" s="282">
        <f t="shared" si="8"/>
        <v>8239574</v>
      </c>
      <c r="V23" s="282">
        <f t="shared" si="8"/>
        <v>0</v>
      </c>
      <c r="W23" s="325">
        <f t="shared" ref="W23:X23" si="14">SUM(W12:W22)</f>
        <v>8239574</v>
      </c>
      <c r="X23" s="282">
        <f t="shared" si="14"/>
        <v>346998</v>
      </c>
      <c r="Y23" s="282">
        <f>SUM(Y12:Y22)</f>
        <v>74156163</v>
      </c>
      <c r="Z23" s="330">
        <f t="shared" si="8"/>
        <v>82742735</v>
      </c>
      <c r="AA23" s="333"/>
      <c r="AB23" s="333"/>
    </row>
    <row r="24" spans="1:28">
      <c r="C24" s="190"/>
      <c r="D24" s="190"/>
      <c r="E24" s="190"/>
      <c r="F24" s="190"/>
      <c r="I24" s="190"/>
      <c r="J24" s="190"/>
      <c r="M24" s="190"/>
      <c r="N24" s="190"/>
      <c r="Q24" s="190"/>
      <c r="T24" s="190"/>
      <c r="U24" s="190"/>
      <c r="V24" s="190"/>
      <c r="W24" s="190"/>
      <c r="X24" s="190"/>
      <c r="Y24" s="190"/>
      <c r="Z24" s="190"/>
    </row>
    <row r="25" spans="1:28">
      <c r="M25" s="331"/>
    </row>
    <row r="26" spans="1:28">
      <c r="M26" s="331"/>
      <c r="O26" s="332"/>
    </row>
    <row r="27" spans="1:28">
      <c r="M27" s="331"/>
    </row>
    <row r="28" spans="1:28">
      <c r="M28" s="331"/>
    </row>
    <row r="29" spans="1:28">
      <c r="M29" s="331"/>
    </row>
    <row r="30" spans="1:28">
      <c r="M30" s="331"/>
    </row>
    <row r="31" spans="1:28">
      <c r="M31" s="331"/>
    </row>
    <row r="32" spans="1:28">
      <c r="M32" s="331"/>
    </row>
    <row r="33" spans="13:13">
      <c r="M33" s="331"/>
    </row>
    <row r="34" spans="13:13">
      <c r="M34" s="331"/>
    </row>
    <row r="35" spans="13:13">
      <c r="M35" s="331"/>
    </row>
    <row r="36" spans="13:13">
      <c r="M36" s="331"/>
    </row>
  </sheetData>
  <pageMargins left="0.45" right="0.45" top="0.75" bottom="0.75" header="0.3" footer="0.3"/>
  <pageSetup scale="83" fitToHeight="0" orientation="landscape" r:id="rId1"/>
  <headerFooter>
    <oddFooter>&amp;C&amp;11Page &amp;P of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  <pageSetUpPr fitToPage="1"/>
  </sheetPr>
  <dimension ref="A2:N28"/>
  <sheetViews>
    <sheetView workbookViewId="0">
      <selection activeCell="K11" sqref="K11"/>
    </sheetView>
  </sheetViews>
  <sheetFormatPr defaultRowHeight="15.75"/>
  <cols>
    <col min="1" max="1" width="5" style="79" customWidth="1"/>
    <col min="2" max="2" width="10.44140625" style="71" bestFit="1" customWidth="1"/>
    <col min="3" max="6" width="8.88671875" style="71"/>
    <col min="7" max="7" width="11.44140625" style="71" bestFit="1" customWidth="1"/>
    <col min="8" max="9" width="8.88671875" style="71"/>
    <col min="10" max="11" width="10.44140625" style="71" bestFit="1" customWidth="1"/>
    <col min="12" max="12" width="11.88671875" style="71" bestFit="1" customWidth="1"/>
    <col min="13" max="13" width="10.44140625" style="71" bestFit="1" customWidth="1"/>
    <col min="14" max="16384" width="8.88671875" style="71"/>
  </cols>
  <sheetData>
    <row r="2" spans="1:14">
      <c r="A2" s="422" t="s">
        <v>224</v>
      </c>
      <c r="B2" s="422"/>
      <c r="C2" s="422"/>
      <c r="D2" s="422"/>
      <c r="E2" s="422"/>
      <c r="F2" s="422"/>
      <c r="G2" s="422"/>
      <c r="H2" s="422"/>
      <c r="I2" s="422"/>
      <c r="J2" s="422"/>
      <c r="K2" s="422"/>
      <c r="L2" s="422"/>
      <c r="M2" s="422"/>
      <c r="N2" s="198"/>
    </row>
    <row r="3" spans="1:14">
      <c r="A3" s="422" t="s">
        <v>201</v>
      </c>
      <c r="B3" s="422"/>
      <c r="C3" s="422"/>
      <c r="D3" s="422"/>
      <c r="E3" s="422"/>
      <c r="F3" s="422"/>
      <c r="G3" s="422"/>
      <c r="H3" s="422"/>
      <c r="I3" s="422"/>
      <c r="J3" s="422"/>
      <c r="K3" s="422"/>
      <c r="L3" s="422"/>
      <c r="M3" s="422"/>
      <c r="N3" s="198"/>
    </row>
    <row r="4" spans="1:14">
      <c r="A4" s="422" t="s">
        <v>223</v>
      </c>
      <c r="B4" s="422"/>
      <c r="C4" s="422"/>
      <c r="D4" s="422"/>
      <c r="E4" s="422"/>
      <c r="F4" s="422"/>
      <c r="G4" s="422"/>
      <c r="H4" s="422"/>
      <c r="I4" s="422"/>
      <c r="J4" s="422"/>
      <c r="K4" s="422"/>
      <c r="L4" s="422"/>
      <c r="M4" s="422"/>
      <c r="N4" s="198"/>
    </row>
    <row r="5" spans="1:14">
      <c r="A5" s="199"/>
      <c r="B5" s="199"/>
      <c r="C5" s="199"/>
      <c r="D5" s="199"/>
      <c r="E5" s="199"/>
      <c r="F5" s="199"/>
      <c r="G5" s="199"/>
      <c r="H5" s="199"/>
      <c r="I5" s="199"/>
      <c r="J5" s="199"/>
      <c r="K5" s="199"/>
      <c r="L5" s="199"/>
      <c r="M5" s="199"/>
      <c r="N5" s="199"/>
    </row>
    <row r="6" spans="1:14" ht="16.5" thickBot="1"/>
    <row r="7" spans="1:14" s="220" customFormat="1" ht="15">
      <c r="A7" s="219"/>
      <c r="B7" s="219" t="s">
        <v>117</v>
      </c>
      <c r="C7" s="219" t="s">
        <v>202</v>
      </c>
      <c r="D7" s="219"/>
      <c r="E7" s="219" t="s">
        <v>118</v>
      </c>
      <c r="F7" s="219"/>
      <c r="G7" s="219" t="s">
        <v>203</v>
      </c>
      <c r="H7" s="219"/>
      <c r="I7" s="219"/>
      <c r="J7" s="219" t="s">
        <v>18</v>
      </c>
      <c r="K7" s="219" t="s">
        <v>1</v>
      </c>
      <c r="L7" s="219" t="s">
        <v>204</v>
      </c>
      <c r="M7" s="219" t="s">
        <v>205</v>
      </c>
    </row>
    <row r="8" spans="1:14" s="220" customFormat="1" ht="15">
      <c r="A8" s="221" t="s">
        <v>5</v>
      </c>
      <c r="B8" s="221" t="s">
        <v>119</v>
      </c>
      <c r="C8" s="221" t="s">
        <v>46</v>
      </c>
      <c r="D8" s="221" t="s">
        <v>120</v>
      </c>
      <c r="E8" s="221" t="s">
        <v>121</v>
      </c>
      <c r="F8" s="221" t="s">
        <v>122</v>
      </c>
      <c r="G8" s="221" t="s">
        <v>206</v>
      </c>
      <c r="H8" s="221" t="s">
        <v>122</v>
      </c>
      <c r="I8" s="221" t="s">
        <v>1</v>
      </c>
      <c r="J8" s="221" t="s">
        <v>123</v>
      </c>
      <c r="K8" s="221" t="s">
        <v>207</v>
      </c>
      <c r="L8" s="221" t="s">
        <v>208</v>
      </c>
      <c r="M8" s="221" t="s">
        <v>10</v>
      </c>
    </row>
    <row r="9" spans="1:14" s="220" customFormat="1" thickBot="1">
      <c r="A9" s="222"/>
      <c r="B9" s="222" t="s">
        <v>124</v>
      </c>
      <c r="C9" s="222" t="s">
        <v>125</v>
      </c>
      <c r="D9" s="222" t="s">
        <v>126</v>
      </c>
      <c r="E9" s="222" t="s">
        <v>127</v>
      </c>
      <c r="F9" s="222" t="s">
        <v>126</v>
      </c>
      <c r="G9" s="222" t="s">
        <v>128</v>
      </c>
      <c r="H9" s="222" t="s">
        <v>126</v>
      </c>
      <c r="I9" s="222" t="s">
        <v>129</v>
      </c>
      <c r="J9" s="222" t="s">
        <v>130</v>
      </c>
      <c r="K9" s="222" t="s">
        <v>209</v>
      </c>
      <c r="L9" s="222" t="s">
        <v>210</v>
      </c>
      <c r="M9" s="222" t="s">
        <v>211</v>
      </c>
    </row>
    <row r="10" spans="1:14">
      <c r="K10" s="207"/>
      <c r="L10" s="212"/>
      <c r="M10" s="214"/>
    </row>
    <row r="11" spans="1:14">
      <c r="A11" s="79" t="s">
        <v>212</v>
      </c>
      <c r="B11" s="185">
        <v>230000</v>
      </c>
      <c r="C11" s="186">
        <v>113999</v>
      </c>
      <c r="D11" s="187">
        <f t="shared" ref="D11:D21" si="0">SUM(C11/$C$23*0.5)</f>
        <v>1.5107565484582064E-2</v>
      </c>
      <c r="E11" s="188">
        <v>4</v>
      </c>
      <c r="F11" s="187">
        <f t="shared" ref="F11:F21" si="1">SUM(E11/$E$23*0.25)</f>
        <v>1.4925373134328358E-2</v>
      </c>
      <c r="G11" s="185">
        <v>1270736</v>
      </c>
      <c r="H11" s="187">
        <f t="shared" ref="H11:H21" si="2">SUM(G11/$G$23*0.25)</f>
        <v>7.582975946409983E-3</v>
      </c>
      <c r="I11" s="188">
        <f t="shared" ref="I11:I21" si="3">D11+F11+H11</f>
        <v>3.7615914565320402E-2</v>
      </c>
      <c r="J11" s="185">
        <f t="shared" ref="J11:J20" si="4">ROUND(I11*$J$26,0)</f>
        <v>93541</v>
      </c>
      <c r="K11" s="208">
        <f t="shared" ref="K11:K21" si="5">B11+J11</f>
        <v>323541</v>
      </c>
      <c r="L11" s="185">
        <f t="shared" ref="L11:L21" si="6">ROUND(346998*K11/$K$23,0)</f>
        <v>15769</v>
      </c>
      <c r="M11" s="215">
        <f t="shared" ref="M11:M21" si="7">SUM(K11:L11)</f>
        <v>339310</v>
      </c>
    </row>
    <row r="12" spans="1:14">
      <c r="A12" s="79" t="s">
        <v>213</v>
      </c>
      <c r="B12" s="185">
        <v>230000</v>
      </c>
      <c r="C12" s="186">
        <v>105341</v>
      </c>
      <c r="D12" s="187">
        <f t="shared" si="0"/>
        <v>1.396017557795559E-2</v>
      </c>
      <c r="E12" s="188">
        <v>14</v>
      </c>
      <c r="F12" s="187">
        <f t="shared" si="1"/>
        <v>5.2238805970149252E-2</v>
      </c>
      <c r="G12" s="185">
        <v>1575272</v>
      </c>
      <c r="H12" s="187">
        <f t="shared" si="2"/>
        <v>9.4002607032878157E-3</v>
      </c>
      <c r="I12" s="188">
        <f t="shared" si="3"/>
        <v>7.5599242251392654E-2</v>
      </c>
      <c r="J12" s="185">
        <f t="shared" si="4"/>
        <v>187995</v>
      </c>
      <c r="K12" s="208">
        <f t="shared" si="5"/>
        <v>417995</v>
      </c>
      <c r="L12" s="185">
        <f t="shared" si="6"/>
        <v>20372</v>
      </c>
      <c r="M12" s="215">
        <f t="shared" si="7"/>
        <v>438367</v>
      </c>
    </row>
    <row r="13" spans="1:14">
      <c r="A13" s="79" t="s">
        <v>214</v>
      </c>
      <c r="B13" s="185">
        <f>ROUND('[1]2003 OAA '!W17*0.07,0)</f>
        <v>441310</v>
      </c>
      <c r="C13" s="186">
        <v>380565</v>
      </c>
      <c r="D13" s="187">
        <f t="shared" si="0"/>
        <v>5.0433869232536892E-2</v>
      </c>
      <c r="E13" s="188">
        <v>16</v>
      </c>
      <c r="F13" s="187">
        <f t="shared" si="1"/>
        <v>5.9701492537313432E-2</v>
      </c>
      <c r="G13" s="185">
        <v>3749410</v>
      </c>
      <c r="H13" s="187">
        <f t="shared" si="2"/>
        <v>2.2374187748855037E-2</v>
      </c>
      <c r="I13" s="188">
        <f t="shared" si="3"/>
        <v>0.13250954951870536</v>
      </c>
      <c r="J13" s="185">
        <f t="shared" si="4"/>
        <v>329516</v>
      </c>
      <c r="K13" s="208">
        <f t="shared" si="5"/>
        <v>770826</v>
      </c>
      <c r="L13" s="185">
        <f t="shared" si="6"/>
        <v>37568</v>
      </c>
      <c r="M13" s="215">
        <f t="shared" si="7"/>
        <v>808394</v>
      </c>
    </row>
    <row r="14" spans="1:14">
      <c r="A14" s="79" t="s">
        <v>215</v>
      </c>
      <c r="B14" s="185">
        <f>ROUND('[1]2003 OAA '!W19*0.07,0)</f>
        <v>392419</v>
      </c>
      <c r="C14" s="186">
        <v>329783</v>
      </c>
      <c r="D14" s="187">
        <f t="shared" si="0"/>
        <v>4.3704052388195747E-2</v>
      </c>
      <c r="E14" s="188">
        <v>7</v>
      </c>
      <c r="F14" s="187">
        <f t="shared" si="1"/>
        <v>2.6119402985074626E-2</v>
      </c>
      <c r="G14" s="185">
        <v>3988358</v>
      </c>
      <c r="H14" s="187">
        <f t="shared" si="2"/>
        <v>2.3800083400227764E-2</v>
      </c>
      <c r="I14" s="188">
        <f t="shared" si="3"/>
        <v>9.3623538773498133E-2</v>
      </c>
      <c r="J14" s="185">
        <f t="shared" si="4"/>
        <v>232817</v>
      </c>
      <c r="K14" s="208">
        <f t="shared" si="5"/>
        <v>625236</v>
      </c>
      <c r="L14" s="185">
        <f t="shared" si="6"/>
        <v>30472</v>
      </c>
      <c r="M14" s="215">
        <f t="shared" si="7"/>
        <v>655708</v>
      </c>
    </row>
    <row r="15" spans="1:14">
      <c r="A15" s="79" t="s">
        <v>216</v>
      </c>
      <c r="B15" s="185">
        <f>ROUND('[1]2003 OAA '!W21*0.07,0)</f>
        <v>362827</v>
      </c>
      <c r="C15" s="186">
        <v>378441</v>
      </c>
      <c r="D15" s="187">
        <f t="shared" si="0"/>
        <v>5.0152388964383204E-2</v>
      </c>
      <c r="E15" s="188">
        <v>2</v>
      </c>
      <c r="F15" s="187">
        <f t="shared" si="1"/>
        <v>7.462686567164179E-3</v>
      </c>
      <c r="G15" s="185">
        <v>5959354</v>
      </c>
      <c r="H15" s="187">
        <f t="shared" si="2"/>
        <v>3.5561783122648696E-2</v>
      </c>
      <c r="I15" s="188">
        <f t="shared" si="3"/>
        <v>9.3176858654196087E-2</v>
      </c>
      <c r="J15" s="185">
        <f t="shared" si="4"/>
        <v>231706</v>
      </c>
      <c r="K15" s="208">
        <f t="shared" si="5"/>
        <v>594533</v>
      </c>
      <c r="L15" s="185">
        <f t="shared" si="6"/>
        <v>28976</v>
      </c>
      <c r="M15" s="215">
        <f t="shared" si="7"/>
        <v>623509</v>
      </c>
    </row>
    <row r="16" spans="1:14">
      <c r="A16" s="79" t="s">
        <v>217</v>
      </c>
      <c r="B16" s="185">
        <f>ROUND('[1]2003 OAA '!W23*0.07,0)</f>
        <v>505091</v>
      </c>
      <c r="C16" s="186">
        <v>421204</v>
      </c>
      <c r="D16" s="187">
        <f t="shared" si="0"/>
        <v>5.5819498525144111E-2</v>
      </c>
      <c r="E16" s="188">
        <v>5</v>
      </c>
      <c r="F16" s="187">
        <f t="shared" si="1"/>
        <v>1.8656716417910446E-2</v>
      </c>
      <c r="G16" s="185">
        <v>4329536</v>
      </c>
      <c r="H16" s="187">
        <f t="shared" si="2"/>
        <v>2.5836025222482163E-2</v>
      </c>
      <c r="I16" s="188">
        <f t="shared" si="3"/>
        <v>0.10031224016553672</v>
      </c>
      <c r="J16" s="185">
        <f t="shared" si="4"/>
        <v>249450</v>
      </c>
      <c r="K16" s="208">
        <f t="shared" si="5"/>
        <v>754541</v>
      </c>
      <c r="L16" s="185">
        <f t="shared" si="6"/>
        <v>36774</v>
      </c>
      <c r="M16" s="215">
        <f t="shared" si="7"/>
        <v>791315</v>
      </c>
    </row>
    <row r="17" spans="1:13">
      <c r="A17" s="79" t="s">
        <v>218</v>
      </c>
      <c r="B17" s="185">
        <f>ROUND('[1]2003 OAA '!W25*0.07,0)</f>
        <v>372608</v>
      </c>
      <c r="C17" s="186">
        <v>344373</v>
      </c>
      <c r="D17" s="187">
        <f t="shared" si="0"/>
        <v>4.5637572685918115E-2</v>
      </c>
      <c r="E17" s="188">
        <v>4</v>
      </c>
      <c r="F17" s="187">
        <f t="shared" si="1"/>
        <v>1.4925373134328358E-2</v>
      </c>
      <c r="G17" s="185">
        <v>3182592</v>
      </c>
      <c r="H17" s="187">
        <f t="shared" si="2"/>
        <v>1.8991764287182262E-2</v>
      </c>
      <c r="I17" s="188">
        <f t="shared" si="3"/>
        <v>7.9554710107428733E-2</v>
      </c>
      <c r="J17" s="185">
        <f t="shared" si="4"/>
        <v>197832</v>
      </c>
      <c r="K17" s="208">
        <f t="shared" si="5"/>
        <v>570440</v>
      </c>
      <c r="L17" s="185">
        <f t="shared" si="6"/>
        <v>27802</v>
      </c>
      <c r="M17" s="215">
        <f t="shared" si="7"/>
        <v>598242</v>
      </c>
    </row>
    <row r="18" spans="1:13">
      <c r="A18" s="79" t="s">
        <v>219</v>
      </c>
      <c r="B18" s="185">
        <f>ROUND('[1]2003 OAA '!W27*0.07,0)</f>
        <v>382582</v>
      </c>
      <c r="C18" s="186">
        <v>449503</v>
      </c>
      <c r="D18" s="187">
        <f t="shared" si="0"/>
        <v>5.9569785770191772E-2</v>
      </c>
      <c r="E18" s="188">
        <v>7</v>
      </c>
      <c r="F18" s="187">
        <f t="shared" si="1"/>
        <v>2.6119402985074626E-2</v>
      </c>
      <c r="G18" s="185">
        <v>3914198</v>
      </c>
      <c r="H18" s="187">
        <f t="shared" si="2"/>
        <v>2.3357541836767089E-2</v>
      </c>
      <c r="I18" s="188">
        <f t="shared" si="3"/>
        <v>0.10904673059203349</v>
      </c>
      <c r="J18" s="185">
        <f t="shared" si="4"/>
        <v>271170</v>
      </c>
      <c r="K18" s="208">
        <f t="shared" si="5"/>
        <v>653752</v>
      </c>
      <c r="L18" s="185">
        <f t="shared" si="6"/>
        <v>31862</v>
      </c>
      <c r="M18" s="215">
        <f t="shared" si="7"/>
        <v>685614</v>
      </c>
    </row>
    <row r="19" spans="1:13">
      <c r="A19" s="79" t="s">
        <v>220</v>
      </c>
      <c r="B19" s="185">
        <f>ROUND('[1]2003 OAA '!W29*0.07,0)</f>
        <v>459635</v>
      </c>
      <c r="C19" s="186">
        <v>481126</v>
      </c>
      <c r="D19" s="187">
        <f t="shared" si="0"/>
        <v>6.376058168347995E-2</v>
      </c>
      <c r="E19" s="188">
        <v>5</v>
      </c>
      <c r="F19" s="187">
        <f t="shared" si="1"/>
        <v>1.8656716417910446E-2</v>
      </c>
      <c r="G19" s="185">
        <v>3619625</v>
      </c>
      <c r="H19" s="187">
        <f t="shared" si="2"/>
        <v>2.159971017585418E-2</v>
      </c>
      <c r="I19" s="188">
        <f t="shared" si="3"/>
        <v>0.10401700827724458</v>
      </c>
      <c r="J19" s="185">
        <f t="shared" si="4"/>
        <v>258663</v>
      </c>
      <c r="K19" s="208">
        <f t="shared" si="5"/>
        <v>718298</v>
      </c>
      <c r="L19" s="185">
        <f t="shared" si="6"/>
        <v>35008</v>
      </c>
      <c r="M19" s="215">
        <f t="shared" si="7"/>
        <v>753306</v>
      </c>
    </row>
    <row r="20" spans="1:13">
      <c r="A20" s="79" t="s">
        <v>19</v>
      </c>
      <c r="B20" s="185">
        <f>ROUND('[1]2003 OAA '!W31*0.07,0)</f>
        <v>379722</v>
      </c>
      <c r="C20" s="186">
        <v>338417</v>
      </c>
      <c r="D20" s="187">
        <f t="shared" si="0"/>
        <v>4.4848261726820486E-2</v>
      </c>
      <c r="E20" s="188">
        <v>1</v>
      </c>
      <c r="F20" s="187">
        <f t="shared" si="1"/>
        <v>3.7313432835820895E-3</v>
      </c>
      <c r="G20" s="185">
        <v>5586876</v>
      </c>
      <c r="H20" s="187">
        <f t="shared" si="2"/>
        <v>3.3339062026711462E-2</v>
      </c>
      <c r="I20" s="188">
        <f t="shared" si="3"/>
        <v>8.1918667037114035E-2</v>
      </c>
      <c r="J20" s="185">
        <f t="shared" si="4"/>
        <v>203710</v>
      </c>
      <c r="K20" s="208">
        <f t="shared" si="5"/>
        <v>583432</v>
      </c>
      <c r="L20" s="185">
        <f t="shared" si="6"/>
        <v>28435</v>
      </c>
      <c r="M20" s="215">
        <f t="shared" si="7"/>
        <v>611867</v>
      </c>
    </row>
    <row r="21" spans="1:13">
      <c r="A21" s="189" t="s">
        <v>20</v>
      </c>
      <c r="B21" s="185">
        <f>ROUND('[1]2003 OAA '!W33*0.07,0)</f>
        <v>876821</v>
      </c>
      <c r="C21" s="186">
        <v>430159</v>
      </c>
      <c r="D21" s="187">
        <f t="shared" si="0"/>
        <v>5.7006247960792081E-2</v>
      </c>
      <c r="E21" s="188">
        <v>2</v>
      </c>
      <c r="F21" s="187">
        <f t="shared" si="1"/>
        <v>7.462686567164179E-3</v>
      </c>
      <c r="G21" s="185">
        <v>4718413</v>
      </c>
      <c r="H21" s="187">
        <f t="shared" si="2"/>
        <v>2.8156605529573542E-2</v>
      </c>
      <c r="I21" s="188">
        <f t="shared" si="3"/>
        <v>9.2625540057529793E-2</v>
      </c>
      <c r="J21" s="185">
        <f>ROUND(I21*$J$26,0)+1</f>
        <v>230336</v>
      </c>
      <c r="K21" s="208">
        <f t="shared" si="5"/>
        <v>1107157</v>
      </c>
      <c r="L21" s="185">
        <f t="shared" si="6"/>
        <v>53960</v>
      </c>
      <c r="M21" s="215">
        <f t="shared" si="7"/>
        <v>1161117</v>
      </c>
    </row>
    <row r="22" spans="1:13">
      <c r="B22" s="190"/>
      <c r="C22" s="191"/>
      <c r="D22" s="192"/>
      <c r="G22" s="190"/>
      <c r="K22" s="209"/>
      <c r="L22" s="205"/>
      <c r="M22" s="216"/>
    </row>
    <row r="23" spans="1:13" s="72" customFormat="1">
      <c r="A23" s="197" t="s">
        <v>1</v>
      </c>
      <c r="B23" s="200">
        <f t="shared" ref="B23:M23" si="8">SUM(B11:B21)</f>
        <v>4633015</v>
      </c>
      <c r="C23" s="201">
        <f t="shared" si="8"/>
        <v>3772911</v>
      </c>
      <c r="D23" s="202">
        <f t="shared" si="8"/>
        <v>0.5</v>
      </c>
      <c r="E23" s="72">
        <f t="shared" si="8"/>
        <v>67</v>
      </c>
      <c r="F23" s="202">
        <f t="shared" si="8"/>
        <v>0.24999999999999997</v>
      </c>
      <c r="G23" s="200">
        <f t="shared" si="8"/>
        <v>41894370</v>
      </c>
      <c r="H23" s="202">
        <f t="shared" si="8"/>
        <v>0.25</v>
      </c>
      <c r="I23" s="202">
        <f t="shared" si="8"/>
        <v>1.0000000000000002</v>
      </c>
      <c r="J23" s="200">
        <f t="shared" si="8"/>
        <v>2486736</v>
      </c>
      <c r="K23" s="210">
        <f t="shared" si="8"/>
        <v>7119751</v>
      </c>
      <c r="L23" s="213">
        <f t="shared" si="8"/>
        <v>346998</v>
      </c>
      <c r="M23" s="217">
        <f t="shared" si="8"/>
        <v>7466749</v>
      </c>
    </row>
    <row r="24" spans="1:13" ht="16.5" thickBot="1">
      <c r="A24" s="193"/>
      <c r="B24" s="194"/>
      <c r="C24" s="195"/>
      <c r="D24" s="194"/>
      <c r="E24" s="194"/>
      <c r="F24" s="194"/>
      <c r="G24" s="196"/>
      <c r="H24" s="194"/>
      <c r="I24" s="194"/>
      <c r="J24" s="194"/>
      <c r="K24" s="211"/>
      <c r="L24" s="196"/>
      <c r="M24" s="218"/>
    </row>
    <row r="25" spans="1:13">
      <c r="A25" s="80"/>
      <c r="B25" s="203"/>
      <c r="C25" s="204"/>
      <c r="D25" s="203"/>
      <c r="E25" s="203"/>
      <c r="F25" s="203"/>
      <c r="G25" s="205"/>
      <c r="H25" s="203"/>
      <c r="I25" s="203"/>
      <c r="J25" s="203"/>
      <c r="K25" s="205"/>
      <c r="L25" s="205"/>
      <c r="M25" s="205"/>
    </row>
    <row r="26" spans="1:13">
      <c r="H26" s="71" t="s">
        <v>221</v>
      </c>
      <c r="J26" s="190">
        <f>7119751-B23</f>
        <v>2486736</v>
      </c>
      <c r="K26" s="190"/>
      <c r="L26" s="190"/>
      <c r="M26" s="190"/>
    </row>
    <row r="27" spans="1:13">
      <c r="A27" s="197"/>
      <c r="B27" s="206" t="s">
        <v>131</v>
      </c>
      <c r="C27" s="71" t="s">
        <v>222</v>
      </c>
      <c r="K27" s="190"/>
      <c r="L27" s="190"/>
      <c r="M27" s="190"/>
    </row>
    <row r="28" spans="1:13">
      <c r="A28" s="197"/>
      <c r="B28" s="206" t="s">
        <v>132</v>
      </c>
      <c r="C28" s="71" t="s">
        <v>133</v>
      </c>
    </row>
  </sheetData>
  <mergeCells count="3">
    <mergeCell ref="A2:M2"/>
    <mergeCell ref="A3:M3"/>
    <mergeCell ref="A4:M4"/>
  </mergeCells>
  <pageMargins left="0.7" right="0.7" top="0.75" bottom="0.75" header="0.3" footer="0.3"/>
  <pageSetup scale="83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3:F16"/>
  <sheetViews>
    <sheetView workbookViewId="0">
      <selection activeCell="J33" sqref="J33"/>
    </sheetView>
  </sheetViews>
  <sheetFormatPr defaultRowHeight="15"/>
  <cols>
    <col min="1" max="1" width="9.6640625" style="5" customWidth="1"/>
    <col min="2" max="6" width="14" style="2" customWidth="1"/>
    <col min="7" max="16384" width="8.88671875" style="2"/>
  </cols>
  <sheetData>
    <row r="3" spans="1:6">
      <c r="B3" s="183" t="s">
        <v>113</v>
      </c>
      <c r="F3" s="91"/>
    </row>
    <row r="4" spans="1:6" s="3" customFormat="1" ht="45">
      <c r="A4" s="6" t="s">
        <v>5</v>
      </c>
      <c r="B4" s="3" t="s">
        <v>197</v>
      </c>
      <c r="C4" s="3" t="s">
        <v>198</v>
      </c>
      <c r="D4" s="3" t="s">
        <v>199</v>
      </c>
      <c r="E4" s="3" t="s">
        <v>200</v>
      </c>
      <c r="F4" s="92" t="s">
        <v>115</v>
      </c>
    </row>
    <row r="5" spans="1:6">
      <c r="A5" s="5">
        <v>1</v>
      </c>
      <c r="B5" s="184">
        <v>113999</v>
      </c>
      <c r="C5" s="184">
        <v>17125</v>
      </c>
      <c r="D5" s="184">
        <v>5439</v>
      </c>
      <c r="E5" s="184">
        <v>7240</v>
      </c>
      <c r="F5" s="93">
        <f>(B5/B$16)*0.35+(C5/C$16)*0.35+(D5/D$16)*0.15+(E5/E$16)*0.15</f>
        <v>3.2346433289943771E-2</v>
      </c>
    </row>
    <row r="6" spans="1:6">
      <c r="A6" s="5">
        <v>2</v>
      </c>
      <c r="B6" s="184">
        <v>105341</v>
      </c>
      <c r="C6" s="184">
        <v>21645</v>
      </c>
      <c r="D6" s="184">
        <v>8223</v>
      </c>
      <c r="E6" s="184">
        <v>7891</v>
      </c>
      <c r="F6" s="93">
        <f t="shared" ref="F6:F15" si="0">(B6/B$16)*0.35+(C6/C$16)*0.35+(D6/D$16)*0.15+(E6/E$16)*0.15</f>
        <v>3.7307159143496388E-2</v>
      </c>
    </row>
    <row r="7" spans="1:6">
      <c r="A7" s="5">
        <v>3</v>
      </c>
      <c r="B7" s="184">
        <v>380565</v>
      </c>
      <c r="C7" s="184">
        <v>53844</v>
      </c>
      <c r="D7" s="184">
        <v>12308</v>
      </c>
      <c r="E7" s="184">
        <v>20143</v>
      </c>
      <c r="F7" s="93">
        <f t="shared" si="0"/>
        <v>9.8387186533890128E-2</v>
      </c>
    </row>
    <row r="8" spans="1:6">
      <c r="A8" s="5">
        <v>4</v>
      </c>
      <c r="B8" s="184">
        <v>329783</v>
      </c>
      <c r="C8" s="184">
        <v>43597</v>
      </c>
      <c r="D8" s="184">
        <v>15613</v>
      </c>
      <c r="E8" s="184">
        <v>18716</v>
      </c>
      <c r="F8" s="93">
        <f t="shared" si="0"/>
        <v>8.7487139002079259E-2</v>
      </c>
    </row>
    <row r="9" spans="1:6">
      <c r="A9" s="5">
        <v>5</v>
      </c>
      <c r="B9" s="184">
        <v>378441</v>
      </c>
      <c r="C9" s="184">
        <v>38824</v>
      </c>
      <c r="D9" s="184">
        <v>6003</v>
      </c>
      <c r="E9" s="184">
        <v>17655</v>
      </c>
      <c r="F9" s="93">
        <f t="shared" si="0"/>
        <v>8.0889976371614575E-2</v>
      </c>
    </row>
    <row r="10" spans="1:6">
      <c r="A10" s="5">
        <v>6</v>
      </c>
      <c r="B10" s="184">
        <v>421204</v>
      </c>
      <c r="C10" s="184">
        <v>56234</v>
      </c>
      <c r="D10" s="184">
        <v>21884</v>
      </c>
      <c r="E10" s="184">
        <v>22677</v>
      </c>
      <c r="F10" s="93">
        <f t="shared" si="0"/>
        <v>0.11260679758662843</v>
      </c>
    </row>
    <row r="11" spans="1:6">
      <c r="A11" s="5">
        <v>7</v>
      </c>
      <c r="B11" s="184">
        <v>344373</v>
      </c>
      <c r="C11" s="184">
        <v>38241</v>
      </c>
      <c r="D11" s="184">
        <v>14230</v>
      </c>
      <c r="E11" s="184">
        <v>17539</v>
      </c>
      <c r="F11" s="93">
        <f t="shared" si="0"/>
        <v>8.307050472675212E-2</v>
      </c>
    </row>
    <row r="12" spans="1:6">
      <c r="A12" s="5">
        <v>8</v>
      </c>
      <c r="B12" s="184">
        <v>449503</v>
      </c>
      <c r="C12" s="184">
        <v>35550</v>
      </c>
      <c r="D12" s="184">
        <v>6265</v>
      </c>
      <c r="E12" s="184">
        <v>17673</v>
      </c>
      <c r="F12" s="93">
        <f t="shared" si="0"/>
        <v>8.5294045404828434E-2</v>
      </c>
    </row>
    <row r="13" spans="1:6">
      <c r="A13" s="5">
        <v>9</v>
      </c>
      <c r="B13" s="184">
        <v>481126</v>
      </c>
      <c r="C13" s="184">
        <v>45763</v>
      </c>
      <c r="D13" s="184">
        <v>12603</v>
      </c>
      <c r="E13" s="184">
        <v>20733</v>
      </c>
      <c r="F13" s="93">
        <f t="shared" si="0"/>
        <v>0.10247270052431458</v>
      </c>
    </row>
    <row r="14" spans="1:6">
      <c r="A14" s="5">
        <v>10</v>
      </c>
      <c r="B14" s="184">
        <v>338417</v>
      </c>
      <c r="C14" s="184">
        <v>40324</v>
      </c>
      <c r="D14" s="184">
        <v>13428</v>
      </c>
      <c r="E14" s="184">
        <v>19131</v>
      </c>
      <c r="F14" s="93">
        <f t="shared" si="0"/>
        <v>8.4656595220878122E-2</v>
      </c>
    </row>
    <row r="15" spans="1:6">
      <c r="A15" s="5">
        <v>11</v>
      </c>
      <c r="B15" s="184">
        <v>430159</v>
      </c>
      <c r="C15" s="184">
        <v>88720</v>
      </c>
      <c r="D15" s="184">
        <v>94851</v>
      </c>
      <c r="E15" s="184">
        <v>31293</v>
      </c>
      <c r="F15" s="93">
        <f t="shared" si="0"/>
        <v>0.19548146219557413</v>
      </c>
    </row>
    <row r="16" spans="1:6">
      <c r="A16" s="5" t="s">
        <v>114</v>
      </c>
      <c r="B16" s="184">
        <v>3772911</v>
      </c>
      <c r="C16" s="184">
        <v>479867</v>
      </c>
      <c r="D16" s="184">
        <v>210847</v>
      </c>
      <c r="E16" s="184">
        <v>200691</v>
      </c>
      <c r="F16" s="94">
        <f>SUM(F5:F15)</f>
        <v>0.99999999999999989</v>
      </c>
    </row>
  </sheetData>
  <pageMargins left="0.7" right="0.7" top="0.75" bottom="0.75" header="0.3" footer="0.3"/>
  <pageSetup orientation="portrait"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theme="6"/>
  </sheetPr>
  <dimension ref="A1:F68"/>
  <sheetViews>
    <sheetView workbookViewId="0">
      <selection activeCell="A4" sqref="A4"/>
    </sheetView>
  </sheetViews>
  <sheetFormatPr defaultRowHeight="15"/>
  <sheetData>
    <row r="1" spans="1:6" ht="51">
      <c r="A1" s="174" t="s">
        <v>5</v>
      </c>
      <c r="B1" s="175" t="s">
        <v>45</v>
      </c>
      <c r="C1" s="175" t="s">
        <v>46</v>
      </c>
      <c r="D1" s="174" t="s">
        <v>193</v>
      </c>
      <c r="E1" s="174" t="s">
        <v>194</v>
      </c>
      <c r="F1" s="174" t="s">
        <v>195</v>
      </c>
    </row>
    <row r="2" spans="1:6">
      <c r="A2" s="176">
        <v>1</v>
      </c>
      <c r="B2" s="177" t="s">
        <v>47</v>
      </c>
      <c r="C2" s="178">
        <v>52967</v>
      </c>
      <c r="D2" s="178">
        <v>8828</v>
      </c>
      <c r="E2" s="178">
        <v>3886</v>
      </c>
      <c r="F2" s="178">
        <v>3682</v>
      </c>
    </row>
    <row r="3" spans="1:6">
      <c r="A3" s="176">
        <v>1</v>
      </c>
      <c r="B3" s="177" t="s">
        <v>48</v>
      </c>
      <c r="C3" s="178">
        <v>29409</v>
      </c>
      <c r="D3" s="178">
        <v>3052</v>
      </c>
      <c r="E3" s="178">
        <v>667</v>
      </c>
      <c r="F3" s="178">
        <v>1324</v>
      </c>
    </row>
    <row r="4" spans="1:6">
      <c r="A4" s="176">
        <v>1</v>
      </c>
      <c r="B4" s="177" t="s">
        <v>49</v>
      </c>
      <c r="C4" s="178">
        <v>21047</v>
      </c>
      <c r="D4" s="178">
        <v>3213</v>
      </c>
      <c r="E4" s="178">
        <v>541</v>
      </c>
      <c r="F4" s="178">
        <v>1602</v>
      </c>
    </row>
    <row r="5" spans="1:6" ht="15.75" thickBot="1">
      <c r="A5" s="176">
        <v>1</v>
      </c>
      <c r="B5" s="177" t="s">
        <v>50</v>
      </c>
      <c r="C5" s="178">
        <v>10576</v>
      </c>
      <c r="D5" s="178">
        <v>2032</v>
      </c>
      <c r="E5" s="178">
        <v>345</v>
      </c>
      <c r="F5" s="178">
        <v>632</v>
      </c>
    </row>
    <row r="6" spans="1:6" ht="15.75" thickBot="1">
      <c r="A6" s="179">
        <v>2</v>
      </c>
      <c r="B6" s="180" t="s">
        <v>51</v>
      </c>
      <c r="C6" s="181">
        <v>28383</v>
      </c>
      <c r="D6" s="181">
        <v>4792</v>
      </c>
      <c r="E6" s="181">
        <v>1013</v>
      </c>
      <c r="F6" s="182">
        <v>1995</v>
      </c>
    </row>
    <row r="7" spans="1:6">
      <c r="A7" s="176">
        <v>2</v>
      </c>
      <c r="B7" s="177" t="s">
        <v>52</v>
      </c>
      <c r="C7" s="178">
        <v>2542</v>
      </c>
      <c r="D7" s="178">
        <v>682</v>
      </c>
      <c r="E7" s="178">
        <v>116</v>
      </c>
      <c r="F7" s="178">
        <v>127</v>
      </c>
    </row>
    <row r="8" spans="1:6">
      <c r="A8" s="176">
        <v>2</v>
      </c>
      <c r="B8" s="177" t="s">
        <v>53</v>
      </c>
      <c r="C8" s="178">
        <v>2655</v>
      </c>
      <c r="D8" s="178">
        <v>754</v>
      </c>
      <c r="E8" s="178">
        <v>105</v>
      </c>
      <c r="F8" s="178">
        <v>165</v>
      </c>
    </row>
    <row r="9" spans="1:6">
      <c r="A9" s="176">
        <v>2</v>
      </c>
      <c r="B9" s="177" t="s">
        <v>54</v>
      </c>
      <c r="C9" s="178">
        <v>7571</v>
      </c>
      <c r="D9" s="178">
        <v>2070</v>
      </c>
      <c r="E9" s="178">
        <v>1844</v>
      </c>
      <c r="F9" s="178">
        <v>733</v>
      </c>
    </row>
    <row r="10" spans="1:6">
      <c r="A10" s="176">
        <v>2</v>
      </c>
      <c r="B10" s="177" t="s">
        <v>55</v>
      </c>
      <c r="C10" s="178">
        <v>3074</v>
      </c>
      <c r="D10" s="178">
        <v>671</v>
      </c>
      <c r="E10" s="178">
        <v>149</v>
      </c>
      <c r="F10" s="178">
        <v>231</v>
      </c>
    </row>
    <row r="11" spans="1:6">
      <c r="A11" s="176">
        <v>2</v>
      </c>
      <c r="B11" s="177" t="s">
        <v>56</v>
      </c>
      <c r="C11" s="178">
        <v>3926</v>
      </c>
      <c r="D11" s="178">
        <v>1028</v>
      </c>
      <c r="E11" s="178">
        <v>27</v>
      </c>
      <c r="F11" s="178">
        <v>430</v>
      </c>
    </row>
    <row r="12" spans="1:6">
      <c r="A12" s="176">
        <v>2</v>
      </c>
      <c r="B12" s="177" t="s">
        <v>57</v>
      </c>
      <c r="C12" s="178">
        <v>9151</v>
      </c>
      <c r="D12" s="178">
        <v>2797</v>
      </c>
      <c r="E12" s="178">
        <v>1202</v>
      </c>
      <c r="F12" s="178">
        <v>931</v>
      </c>
    </row>
    <row r="13" spans="1:6">
      <c r="A13" s="176">
        <v>2</v>
      </c>
      <c r="B13" s="177" t="s">
        <v>58</v>
      </c>
      <c r="C13" s="178">
        <v>2502</v>
      </c>
      <c r="D13" s="178">
        <v>628</v>
      </c>
      <c r="E13" s="178">
        <v>322</v>
      </c>
      <c r="F13" s="178">
        <v>240</v>
      </c>
    </row>
    <row r="14" spans="1:6">
      <c r="A14" s="176">
        <v>2</v>
      </c>
      <c r="B14" s="177" t="s">
        <v>59</v>
      </c>
      <c r="C14" s="178">
        <v>28365</v>
      </c>
      <c r="D14" s="178">
        <v>4051</v>
      </c>
      <c r="E14" s="178">
        <v>2257</v>
      </c>
      <c r="F14" s="178">
        <v>1604</v>
      </c>
    </row>
    <row r="15" spans="1:6">
      <c r="A15" s="176">
        <v>2</v>
      </c>
      <c r="B15" s="177" t="s">
        <v>60</v>
      </c>
      <c r="C15" s="178">
        <v>1047</v>
      </c>
      <c r="D15" s="178">
        <v>221</v>
      </c>
      <c r="E15" s="178">
        <v>36</v>
      </c>
      <c r="F15" s="178">
        <v>172</v>
      </c>
    </row>
    <row r="16" spans="1:6">
      <c r="A16" s="176">
        <v>2</v>
      </c>
      <c r="B16" s="177" t="s">
        <v>61</v>
      </c>
      <c r="C16" s="178">
        <v>3651</v>
      </c>
      <c r="D16" s="178">
        <v>1215</v>
      </c>
      <c r="E16" s="178">
        <v>623</v>
      </c>
      <c r="F16" s="178">
        <v>313</v>
      </c>
    </row>
    <row r="17" spans="1:6">
      <c r="A17" s="176">
        <v>2</v>
      </c>
      <c r="B17" s="177" t="s">
        <v>62</v>
      </c>
      <c r="C17" s="178">
        <v>3838</v>
      </c>
      <c r="D17" s="178">
        <v>976</v>
      </c>
      <c r="E17" s="178">
        <v>240</v>
      </c>
      <c r="F17" s="178">
        <v>220</v>
      </c>
    </row>
    <row r="18" spans="1:6">
      <c r="A18" s="176">
        <v>2</v>
      </c>
      <c r="B18" s="177" t="s">
        <v>63</v>
      </c>
      <c r="C18" s="178">
        <v>3917</v>
      </c>
      <c r="D18" s="178">
        <v>646</v>
      </c>
      <c r="E18" s="178">
        <v>120</v>
      </c>
      <c r="F18" s="178">
        <v>302</v>
      </c>
    </row>
    <row r="19" spans="1:6">
      <c r="A19" s="176">
        <v>2</v>
      </c>
      <c r="B19" s="177" t="s">
        <v>64</v>
      </c>
      <c r="C19" s="178">
        <v>4719</v>
      </c>
      <c r="D19" s="178">
        <v>1114</v>
      </c>
      <c r="E19" s="178">
        <v>169</v>
      </c>
      <c r="F19" s="178">
        <v>428</v>
      </c>
    </row>
    <row r="20" spans="1:6" ht="15.75" thickBot="1">
      <c r="A20" s="176">
        <v>3</v>
      </c>
      <c r="B20" s="177" t="s">
        <v>65</v>
      </c>
      <c r="C20" s="178">
        <v>29318</v>
      </c>
      <c r="D20" s="178">
        <v>4864</v>
      </c>
      <c r="E20" s="178">
        <v>2490</v>
      </c>
      <c r="F20" s="178">
        <v>2046</v>
      </c>
    </row>
    <row r="21" spans="1:6" ht="15.75" thickBot="1">
      <c r="A21" s="179">
        <v>3</v>
      </c>
      <c r="B21" s="180" t="s">
        <v>66</v>
      </c>
      <c r="C21" s="181">
        <v>4783</v>
      </c>
      <c r="D21" s="181">
        <v>951</v>
      </c>
      <c r="E21" s="181">
        <v>157</v>
      </c>
      <c r="F21" s="182">
        <v>369</v>
      </c>
    </row>
    <row r="22" spans="1:6">
      <c r="A22" s="176">
        <v>3</v>
      </c>
      <c r="B22" s="177" t="s">
        <v>67</v>
      </c>
      <c r="C22" s="178">
        <v>50443</v>
      </c>
      <c r="D22" s="178">
        <v>5648</v>
      </c>
      <c r="E22" s="178">
        <v>604</v>
      </c>
      <c r="F22" s="178">
        <v>2230</v>
      </c>
    </row>
    <row r="23" spans="1:6">
      <c r="A23" s="176">
        <v>3</v>
      </c>
      <c r="B23" s="177" t="s">
        <v>68</v>
      </c>
      <c r="C23" s="178">
        <v>11237</v>
      </c>
      <c r="D23" s="178">
        <v>2394</v>
      </c>
      <c r="E23" s="178">
        <v>766</v>
      </c>
      <c r="F23" s="178">
        <v>882</v>
      </c>
    </row>
    <row r="24" spans="1:6">
      <c r="A24" s="176">
        <v>3</v>
      </c>
      <c r="B24" s="177" t="s">
        <v>69</v>
      </c>
      <c r="C24" s="178">
        <v>3618</v>
      </c>
      <c r="D24" s="178">
        <v>1135</v>
      </c>
      <c r="E24" s="178">
        <v>60</v>
      </c>
      <c r="F24" s="178">
        <v>314</v>
      </c>
    </row>
    <row r="25" spans="1:6">
      <c r="A25" s="176">
        <v>3</v>
      </c>
      <c r="B25" s="177" t="s">
        <v>70</v>
      </c>
      <c r="C25" s="178">
        <v>2875</v>
      </c>
      <c r="D25" s="178">
        <v>632</v>
      </c>
      <c r="E25" s="178">
        <v>81</v>
      </c>
      <c r="F25" s="178">
        <v>202</v>
      </c>
    </row>
    <row r="26" spans="1:6">
      <c r="A26" s="176">
        <v>3</v>
      </c>
      <c r="B26" s="177" t="s">
        <v>71</v>
      </c>
      <c r="C26" s="178">
        <v>2155</v>
      </c>
      <c r="D26" s="178">
        <v>715</v>
      </c>
      <c r="E26" s="178">
        <v>335</v>
      </c>
      <c r="F26" s="178">
        <v>168</v>
      </c>
    </row>
    <row r="27" spans="1:6">
      <c r="A27" s="176">
        <v>3</v>
      </c>
      <c r="B27" s="177" t="s">
        <v>72</v>
      </c>
      <c r="C27" s="178">
        <v>51010</v>
      </c>
      <c r="D27" s="178">
        <v>4656</v>
      </c>
      <c r="E27" s="178">
        <v>829</v>
      </c>
      <c r="F27" s="178">
        <v>2197</v>
      </c>
    </row>
    <row r="28" spans="1:6">
      <c r="A28" s="176">
        <v>3</v>
      </c>
      <c r="B28" s="177" t="s">
        <v>73</v>
      </c>
      <c r="C28" s="178">
        <v>1222</v>
      </c>
      <c r="D28" s="178">
        <v>376</v>
      </c>
      <c r="E28" s="178">
        <v>36</v>
      </c>
      <c r="F28" s="178">
        <v>68</v>
      </c>
    </row>
    <row r="29" spans="1:6">
      <c r="A29" s="176">
        <v>3</v>
      </c>
      <c r="B29" s="177" t="s">
        <v>74</v>
      </c>
      <c r="C29" s="178">
        <v>78263</v>
      </c>
      <c r="D29" s="178">
        <v>9102</v>
      </c>
      <c r="E29" s="178">
        <v>1623</v>
      </c>
      <c r="F29" s="178">
        <v>3327</v>
      </c>
    </row>
    <row r="30" spans="1:6">
      <c r="A30" s="176">
        <v>3</v>
      </c>
      <c r="B30" s="177" t="s">
        <v>75</v>
      </c>
      <c r="C30" s="178">
        <v>9457</v>
      </c>
      <c r="D30" s="178">
        <v>2021</v>
      </c>
      <c r="E30" s="178">
        <v>346</v>
      </c>
      <c r="F30" s="178">
        <v>778</v>
      </c>
    </row>
    <row r="31" spans="1:6">
      <c r="A31" s="176">
        <v>3</v>
      </c>
      <c r="B31" s="177" t="s">
        <v>76</v>
      </c>
      <c r="C31" s="178">
        <v>85493</v>
      </c>
      <c r="D31" s="178">
        <v>11994</v>
      </c>
      <c r="E31" s="178">
        <v>2757</v>
      </c>
      <c r="F31" s="178">
        <v>4333</v>
      </c>
    </row>
    <row r="32" spans="1:6">
      <c r="A32" s="176">
        <v>3</v>
      </c>
      <c r="B32" s="177" t="s">
        <v>77</v>
      </c>
      <c r="C32" s="178">
        <v>17642</v>
      </c>
      <c r="D32" s="178">
        <v>3135</v>
      </c>
      <c r="E32" s="178">
        <v>1092</v>
      </c>
      <c r="F32" s="178">
        <v>1195</v>
      </c>
    </row>
    <row r="33" spans="1:6">
      <c r="A33" s="176">
        <v>3</v>
      </c>
      <c r="B33" s="177" t="s">
        <v>78</v>
      </c>
      <c r="C33" s="178">
        <v>22785</v>
      </c>
      <c r="D33" s="178">
        <v>3911</v>
      </c>
      <c r="E33" s="178">
        <v>664</v>
      </c>
      <c r="F33" s="178">
        <v>1164</v>
      </c>
    </row>
    <row r="34" spans="1:6">
      <c r="A34" s="176">
        <v>3</v>
      </c>
      <c r="B34" s="177" t="s">
        <v>79</v>
      </c>
      <c r="C34" s="178">
        <v>8706</v>
      </c>
      <c r="D34" s="178">
        <v>1978</v>
      </c>
      <c r="E34" s="178">
        <v>398</v>
      </c>
      <c r="F34" s="178">
        <v>755</v>
      </c>
    </row>
    <row r="35" spans="1:6">
      <c r="A35" s="176">
        <v>3</v>
      </c>
      <c r="B35" s="177" t="s">
        <v>80</v>
      </c>
      <c r="C35" s="178">
        <v>1558</v>
      </c>
      <c r="D35" s="178">
        <v>332</v>
      </c>
      <c r="E35" s="178">
        <v>70</v>
      </c>
      <c r="F35" s="178">
        <v>115</v>
      </c>
    </row>
    <row r="36" spans="1:6">
      <c r="A36" s="176">
        <v>4</v>
      </c>
      <c r="B36" s="177" t="s">
        <v>81</v>
      </c>
      <c r="C36" s="178">
        <v>3196</v>
      </c>
      <c r="D36" s="178">
        <v>784</v>
      </c>
      <c r="E36" s="178">
        <v>105</v>
      </c>
      <c r="F36" s="178">
        <v>195</v>
      </c>
    </row>
    <row r="37" spans="1:6" ht="15.75" thickBot="1">
      <c r="A37" s="176">
        <v>4</v>
      </c>
      <c r="B37" s="177" t="s">
        <v>82</v>
      </c>
      <c r="C37" s="178">
        <v>21819</v>
      </c>
      <c r="D37" s="178">
        <v>2072</v>
      </c>
      <c r="E37" s="178">
        <v>468</v>
      </c>
      <c r="F37" s="178">
        <v>1339</v>
      </c>
    </row>
    <row r="38" spans="1:6" ht="15.75" thickBot="1">
      <c r="A38" s="179">
        <v>4</v>
      </c>
      <c r="B38" s="180" t="s">
        <v>83</v>
      </c>
      <c r="C38" s="181">
        <v>115145</v>
      </c>
      <c r="D38" s="181">
        <v>19184</v>
      </c>
      <c r="E38" s="181">
        <v>10373</v>
      </c>
      <c r="F38" s="182">
        <v>7950</v>
      </c>
    </row>
    <row r="39" spans="1:6">
      <c r="A39" s="176">
        <v>4</v>
      </c>
      <c r="B39" s="177" t="s">
        <v>84</v>
      </c>
      <c r="C39" s="178">
        <v>21633</v>
      </c>
      <c r="D39" s="178">
        <v>1558</v>
      </c>
      <c r="E39" s="178">
        <v>583</v>
      </c>
      <c r="F39" s="178">
        <v>617</v>
      </c>
    </row>
    <row r="40" spans="1:6">
      <c r="A40" s="176">
        <v>4</v>
      </c>
      <c r="B40" s="177" t="s">
        <v>85</v>
      </c>
      <c r="C40" s="178">
        <v>11297</v>
      </c>
      <c r="D40" s="178">
        <v>2388</v>
      </c>
      <c r="E40" s="178">
        <v>485</v>
      </c>
      <c r="F40" s="178">
        <v>728</v>
      </c>
    </row>
    <row r="41" spans="1:6">
      <c r="A41" s="176">
        <v>4</v>
      </c>
      <c r="B41" s="177" t="s">
        <v>86</v>
      </c>
      <c r="C41" s="178">
        <v>29298</v>
      </c>
      <c r="D41" s="178">
        <v>3285</v>
      </c>
      <c r="E41" s="178">
        <v>753</v>
      </c>
      <c r="F41" s="178">
        <v>1367</v>
      </c>
    </row>
    <row r="42" spans="1:6">
      <c r="A42" s="176">
        <v>4</v>
      </c>
      <c r="B42" s="177" t="s">
        <v>87</v>
      </c>
      <c r="C42" s="178">
        <v>127395</v>
      </c>
      <c r="D42" s="178">
        <v>14326</v>
      </c>
      <c r="E42" s="178">
        <v>2846</v>
      </c>
      <c r="F42" s="178">
        <v>6520</v>
      </c>
    </row>
    <row r="43" spans="1:6">
      <c r="A43" s="176">
        <v>5</v>
      </c>
      <c r="B43" s="177" t="s">
        <v>88</v>
      </c>
      <c r="C43" s="178">
        <v>119964</v>
      </c>
      <c r="D43" s="178">
        <v>12933</v>
      </c>
      <c r="E43" s="178">
        <v>844</v>
      </c>
      <c r="F43" s="178">
        <v>5609</v>
      </c>
    </row>
    <row r="44" spans="1:6">
      <c r="A44" s="176">
        <v>5</v>
      </c>
      <c r="B44" s="177" t="s">
        <v>89</v>
      </c>
      <c r="C44" s="178">
        <v>258477</v>
      </c>
      <c r="D44" s="178">
        <v>25891</v>
      </c>
      <c r="E44" s="178">
        <v>5159</v>
      </c>
      <c r="F44" s="178">
        <v>12046</v>
      </c>
    </row>
    <row r="45" spans="1:6" ht="15.75" thickBot="1">
      <c r="A45" s="176">
        <v>6</v>
      </c>
      <c r="B45" s="177" t="s">
        <v>90</v>
      </c>
      <c r="C45" s="178">
        <v>5052</v>
      </c>
      <c r="D45" s="178">
        <v>1134</v>
      </c>
      <c r="E45" s="178">
        <v>333</v>
      </c>
      <c r="F45" s="178">
        <v>453</v>
      </c>
    </row>
    <row r="46" spans="1:6" ht="15.75" thickBot="1">
      <c r="A46" s="179">
        <v>6</v>
      </c>
      <c r="B46" s="180" t="s">
        <v>91</v>
      </c>
      <c r="C46" s="181">
        <v>36498</v>
      </c>
      <c r="D46" s="181">
        <v>4544</v>
      </c>
      <c r="E46" s="181">
        <v>849</v>
      </c>
      <c r="F46" s="182">
        <v>1874</v>
      </c>
    </row>
    <row r="47" spans="1:6">
      <c r="A47" s="176">
        <v>6</v>
      </c>
      <c r="B47" s="177" t="s">
        <v>92</v>
      </c>
      <c r="C47" s="178">
        <v>171069</v>
      </c>
      <c r="D47" s="178">
        <v>26230</v>
      </c>
      <c r="E47" s="178">
        <v>14850</v>
      </c>
      <c r="F47" s="178">
        <v>10283</v>
      </c>
    </row>
    <row r="48" spans="1:6" ht="15.75" thickBot="1">
      <c r="A48" s="176">
        <v>6</v>
      </c>
      <c r="B48" s="177" t="s">
        <v>93</v>
      </c>
      <c r="C48" s="178">
        <v>85494</v>
      </c>
      <c r="D48" s="178">
        <v>7865</v>
      </c>
      <c r="E48" s="178">
        <v>1417</v>
      </c>
      <c r="F48" s="178">
        <v>3374</v>
      </c>
    </row>
    <row r="49" spans="1:6" ht="15.75" thickBot="1">
      <c r="A49" s="179">
        <v>6</v>
      </c>
      <c r="B49" s="180" t="s">
        <v>94</v>
      </c>
      <c r="C49" s="181">
        <v>123091</v>
      </c>
      <c r="D49" s="181">
        <v>16461</v>
      </c>
      <c r="E49" s="181">
        <v>4435</v>
      </c>
      <c r="F49" s="182">
        <v>6693</v>
      </c>
    </row>
    <row r="50" spans="1:6">
      <c r="A50" s="176">
        <v>7</v>
      </c>
      <c r="B50" s="177" t="s">
        <v>95</v>
      </c>
      <c r="C50" s="178">
        <v>125181</v>
      </c>
      <c r="D50" s="178">
        <v>12003</v>
      </c>
      <c r="E50" s="178">
        <v>2625</v>
      </c>
      <c r="F50" s="178">
        <v>5548</v>
      </c>
    </row>
    <row r="51" spans="1:6">
      <c r="A51" s="176">
        <v>7</v>
      </c>
      <c r="B51" s="177" t="s">
        <v>96</v>
      </c>
      <c r="C51" s="178">
        <v>131232</v>
      </c>
      <c r="D51" s="178">
        <v>16553</v>
      </c>
      <c r="E51" s="178">
        <v>8167</v>
      </c>
      <c r="F51" s="178">
        <v>7417</v>
      </c>
    </row>
    <row r="52" spans="1:6">
      <c r="A52" s="176">
        <v>7</v>
      </c>
      <c r="B52" s="177" t="s">
        <v>97</v>
      </c>
      <c r="C52" s="178">
        <v>30484</v>
      </c>
      <c r="D52" s="178">
        <v>3524</v>
      </c>
      <c r="E52" s="178">
        <v>939</v>
      </c>
      <c r="F52" s="178">
        <v>1442</v>
      </c>
    </row>
    <row r="53" spans="1:6">
      <c r="A53" s="176">
        <v>7</v>
      </c>
      <c r="B53" s="177" t="s">
        <v>98</v>
      </c>
      <c r="C53" s="178">
        <v>57476</v>
      </c>
      <c r="D53" s="178">
        <v>6161</v>
      </c>
      <c r="E53" s="178">
        <v>2499</v>
      </c>
      <c r="F53" s="178">
        <v>3132</v>
      </c>
    </row>
    <row r="54" spans="1:6" ht="15.75" thickBot="1">
      <c r="A54" s="176">
        <v>8</v>
      </c>
      <c r="B54" s="177" t="s">
        <v>99</v>
      </c>
      <c r="C54" s="178">
        <v>62302</v>
      </c>
      <c r="D54" s="178">
        <v>4644</v>
      </c>
      <c r="E54" s="178">
        <v>581</v>
      </c>
      <c r="F54" s="178">
        <v>2464</v>
      </c>
    </row>
    <row r="55" spans="1:6" ht="15.75" thickBot="1">
      <c r="A55" s="179">
        <v>8</v>
      </c>
      <c r="B55" s="180" t="s">
        <v>100</v>
      </c>
      <c r="C55" s="181">
        <v>89448</v>
      </c>
      <c r="D55" s="181">
        <v>6299</v>
      </c>
      <c r="E55" s="181">
        <v>1456</v>
      </c>
      <c r="F55" s="181">
        <v>2942</v>
      </c>
    </row>
    <row r="56" spans="1:6">
      <c r="A56" s="176">
        <v>8</v>
      </c>
      <c r="B56" s="177" t="s">
        <v>196</v>
      </c>
      <c r="C56" s="178">
        <v>8270</v>
      </c>
      <c r="D56" s="178">
        <v>1104</v>
      </c>
      <c r="E56" s="178">
        <v>208</v>
      </c>
      <c r="F56" s="178">
        <v>554</v>
      </c>
    </row>
    <row r="57" spans="1:6">
      <c r="A57" s="176">
        <v>8</v>
      </c>
      <c r="B57" s="177" t="s">
        <v>101</v>
      </c>
      <c r="C57" s="178">
        <v>2819</v>
      </c>
      <c r="D57" s="178">
        <v>332</v>
      </c>
      <c r="E57" s="178">
        <v>81</v>
      </c>
      <c r="F57" s="178">
        <v>90</v>
      </c>
    </row>
    <row r="58" spans="1:6">
      <c r="A58" s="176">
        <v>8</v>
      </c>
      <c r="B58" s="177" t="s">
        <v>102</v>
      </c>
      <c r="C58" s="178">
        <v>5182</v>
      </c>
      <c r="D58" s="178">
        <v>1028</v>
      </c>
      <c r="E58" s="178">
        <v>456</v>
      </c>
      <c r="F58" s="178">
        <v>313</v>
      </c>
    </row>
    <row r="59" spans="1:6" ht="15.75" thickBot="1">
      <c r="A59" s="176">
        <v>8</v>
      </c>
      <c r="B59" s="177" t="s">
        <v>103</v>
      </c>
      <c r="C59" s="178">
        <v>149586</v>
      </c>
      <c r="D59" s="178">
        <v>12313</v>
      </c>
      <c r="E59" s="178">
        <v>2159</v>
      </c>
      <c r="F59" s="178">
        <v>5785</v>
      </c>
    </row>
    <row r="60" spans="1:6" ht="15.75" thickBot="1">
      <c r="A60" s="179">
        <v>8</v>
      </c>
      <c r="B60" s="180" t="s">
        <v>104</v>
      </c>
      <c r="C60" s="181">
        <v>131896</v>
      </c>
      <c r="D60" s="181">
        <v>9830</v>
      </c>
      <c r="E60" s="181">
        <v>1324</v>
      </c>
      <c r="F60" s="182">
        <v>5525</v>
      </c>
    </row>
    <row r="61" spans="1:6">
      <c r="A61" s="176">
        <v>9</v>
      </c>
      <c r="B61" s="177" t="s">
        <v>105</v>
      </c>
      <c r="C61" s="178">
        <v>41658</v>
      </c>
      <c r="D61" s="178">
        <v>3765</v>
      </c>
      <c r="E61" s="178">
        <v>594</v>
      </c>
      <c r="F61" s="178">
        <v>1559</v>
      </c>
    </row>
    <row r="62" spans="1:6">
      <c r="A62" s="176">
        <v>9</v>
      </c>
      <c r="B62" s="177" t="s">
        <v>106</v>
      </c>
      <c r="C62" s="178">
        <v>45272</v>
      </c>
      <c r="D62" s="178">
        <v>4011</v>
      </c>
      <c r="E62" s="178">
        <v>485</v>
      </c>
      <c r="F62" s="178">
        <v>1781</v>
      </c>
    </row>
    <row r="63" spans="1:6">
      <c r="A63" s="176">
        <v>9</v>
      </c>
      <c r="B63" s="177" t="s">
        <v>107</v>
      </c>
      <c r="C63" s="178">
        <v>8224</v>
      </c>
      <c r="D63" s="178">
        <v>1645</v>
      </c>
      <c r="E63" s="178">
        <v>180</v>
      </c>
      <c r="F63" s="178">
        <v>582</v>
      </c>
    </row>
    <row r="64" spans="1:6">
      <c r="A64" s="176">
        <v>9</v>
      </c>
      <c r="B64" s="177" t="s">
        <v>108</v>
      </c>
      <c r="C64" s="178">
        <v>328378</v>
      </c>
      <c r="D64" s="178">
        <v>30361</v>
      </c>
      <c r="E64" s="178">
        <v>9195</v>
      </c>
      <c r="F64" s="178">
        <v>14217</v>
      </c>
    </row>
    <row r="65" spans="1:6">
      <c r="A65" s="176">
        <v>9</v>
      </c>
      <c r="B65" s="177" t="s">
        <v>109</v>
      </c>
      <c r="C65" s="178">
        <v>57594</v>
      </c>
      <c r="D65" s="178">
        <v>5981</v>
      </c>
      <c r="E65" s="178">
        <v>2149</v>
      </c>
      <c r="F65" s="178">
        <v>2594</v>
      </c>
    </row>
    <row r="66" spans="1:6">
      <c r="A66" s="176">
        <v>10</v>
      </c>
      <c r="B66" s="177" t="s">
        <v>110</v>
      </c>
      <c r="C66" s="178">
        <v>338417</v>
      </c>
      <c r="D66" s="178">
        <v>40324</v>
      </c>
      <c r="E66" s="178">
        <v>13428</v>
      </c>
      <c r="F66" s="178">
        <v>19131</v>
      </c>
    </row>
    <row r="67" spans="1:6" ht="15.75" thickBot="1">
      <c r="A67" s="176">
        <v>11</v>
      </c>
      <c r="B67" s="177" t="s">
        <v>111</v>
      </c>
      <c r="C67" s="178">
        <v>413568</v>
      </c>
      <c r="D67" s="178">
        <v>86645</v>
      </c>
      <c r="E67" s="178">
        <v>94007</v>
      </c>
      <c r="F67" s="178">
        <v>30549</v>
      </c>
    </row>
    <row r="68" spans="1:6" ht="15.75" thickBot="1">
      <c r="A68" s="179">
        <v>11</v>
      </c>
      <c r="B68" s="180" t="s">
        <v>112</v>
      </c>
      <c r="C68" s="181">
        <v>16591</v>
      </c>
      <c r="D68" s="181">
        <v>2075</v>
      </c>
      <c r="E68" s="181">
        <v>844</v>
      </c>
      <c r="F68" s="182">
        <v>744</v>
      </c>
    </row>
  </sheetData>
  <autoFilter ref="A1:F68">
    <sortState ref="A2:F79">
      <sortCondition ref="A1:A79"/>
    </sortState>
  </autoFilter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L48"/>
  <sheetViews>
    <sheetView zoomScaleNormal="100" workbookViewId="0">
      <pane ySplit="8" topLeftCell="A9" activePane="bottomLeft" state="frozen"/>
      <selection activeCell="A29" sqref="A29"/>
      <selection pane="bottomLeft" activeCell="B23" sqref="B23"/>
    </sheetView>
  </sheetViews>
  <sheetFormatPr defaultColWidth="11.5546875" defaultRowHeight="15"/>
  <cols>
    <col min="1" max="1" width="41" style="9" customWidth="1"/>
    <col min="2" max="2" width="15" style="9" customWidth="1"/>
    <col min="3" max="4" width="14.109375" style="9" customWidth="1"/>
    <col min="5" max="5" width="14.6640625" style="9" customWidth="1"/>
    <col min="6" max="6" width="14" style="9" customWidth="1"/>
    <col min="7" max="7" width="16.21875" style="9" customWidth="1"/>
    <col min="8" max="8" width="15.77734375" style="9" customWidth="1"/>
    <col min="9" max="9" width="15" style="9" customWidth="1"/>
    <col min="10" max="10" width="1.88671875" style="9" customWidth="1"/>
    <col min="11" max="16384" width="11.5546875" style="9"/>
  </cols>
  <sheetData>
    <row r="1" spans="1:12" ht="18.75">
      <c r="A1" s="122" t="s">
        <v>191</v>
      </c>
      <c r="B1" s="122"/>
      <c r="C1" s="122"/>
      <c r="D1" s="122"/>
      <c r="E1" s="122"/>
      <c r="F1" s="122"/>
      <c r="G1" s="122"/>
      <c r="H1" s="122"/>
      <c r="I1" s="122"/>
    </row>
    <row r="2" spans="1:12">
      <c r="A2" s="123" t="s">
        <v>260</v>
      </c>
      <c r="B2" s="123"/>
      <c r="C2" s="123"/>
      <c r="D2" s="123"/>
      <c r="E2" s="123"/>
      <c r="F2" s="123"/>
      <c r="G2" s="123"/>
      <c r="H2" s="123"/>
      <c r="I2" s="123"/>
    </row>
    <row r="3" spans="1:12">
      <c r="A3" s="123" t="s">
        <v>272</v>
      </c>
      <c r="B3" s="123"/>
      <c r="C3" s="123"/>
      <c r="D3" s="123"/>
      <c r="E3" s="123"/>
      <c r="F3" s="123"/>
      <c r="G3" s="173"/>
      <c r="H3" s="123"/>
      <c r="I3" s="123"/>
    </row>
    <row r="4" spans="1:12">
      <c r="D4" s="11"/>
      <c r="E4" s="12"/>
      <c r="I4" s="13"/>
    </row>
    <row r="5" spans="1:12" ht="15.75" thickBot="1"/>
    <row r="6" spans="1:12" ht="21.75" customHeight="1">
      <c r="A6" s="14"/>
      <c r="B6" s="151" t="s">
        <v>44</v>
      </c>
      <c r="C6" s="152" t="s">
        <v>43</v>
      </c>
      <c r="D6" s="152" t="s">
        <v>184</v>
      </c>
      <c r="E6" s="152" t="s">
        <v>185</v>
      </c>
      <c r="F6" s="152" t="s">
        <v>186</v>
      </c>
      <c r="G6" s="152" t="s">
        <v>42</v>
      </c>
      <c r="H6" s="152" t="s">
        <v>41</v>
      </c>
      <c r="I6" s="153" t="s">
        <v>41</v>
      </c>
    </row>
    <row r="7" spans="1:12">
      <c r="A7" s="150" t="s">
        <v>116</v>
      </c>
      <c r="B7" s="154" t="s">
        <v>40</v>
      </c>
      <c r="C7" s="155" t="s">
        <v>39</v>
      </c>
      <c r="D7" s="155" t="s">
        <v>38</v>
      </c>
      <c r="E7" s="155" t="s">
        <v>137</v>
      </c>
      <c r="F7" s="155" t="s">
        <v>21</v>
      </c>
      <c r="G7" s="155" t="s">
        <v>138</v>
      </c>
      <c r="H7" s="155" t="s">
        <v>37</v>
      </c>
      <c r="I7" s="156" t="s">
        <v>36</v>
      </c>
    </row>
    <row r="8" spans="1:12" s="161" customFormat="1" ht="21.75" customHeight="1">
      <c r="A8" s="157"/>
      <c r="B8" s="158" t="s">
        <v>35</v>
      </c>
      <c r="C8" s="159" t="s">
        <v>34</v>
      </c>
      <c r="D8" s="159" t="s">
        <v>33</v>
      </c>
      <c r="E8" s="159" t="s">
        <v>33</v>
      </c>
      <c r="F8" s="159" t="s">
        <v>22</v>
      </c>
      <c r="G8" s="159" t="s">
        <v>32</v>
      </c>
      <c r="H8" s="159" t="s">
        <v>31</v>
      </c>
      <c r="I8" s="160" t="s">
        <v>30</v>
      </c>
      <c r="K8" s="310" t="s">
        <v>240</v>
      </c>
      <c r="L8" s="310" t="s">
        <v>241</v>
      </c>
    </row>
    <row r="9" spans="1:12">
      <c r="A9" s="15"/>
      <c r="B9" s="140"/>
      <c r="C9" s="16"/>
      <c r="D9" s="16"/>
      <c r="E9" s="16"/>
      <c r="F9" s="16"/>
      <c r="G9" s="16"/>
      <c r="H9" s="16"/>
      <c r="I9" s="35"/>
    </row>
    <row r="10" spans="1:12">
      <c r="A10" s="162" t="s">
        <v>261</v>
      </c>
      <c r="B10" s="163">
        <f>SUM(C10:I10)</f>
        <v>88668631</v>
      </c>
      <c r="C10" s="164">
        <v>24898663</v>
      </c>
      <c r="D10" s="164">
        <v>32045414</v>
      </c>
      <c r="E10" s="164">
        <v>16615026</v>
      </c>
      <c r="F10" s="164">
        <v>1455604</v>
      </c>
      <c r="G10" s="164">
        <v>12143606</v>
      </c>
      <c r="H10" s="164">
        <v>1166066</v>
      </c>
      <c r="I10" s="165">
        <v>344252</v>
      </c>
      <c r="K10" s="309">
        <f>SUM(C10:G10)</f>
        <v>87158313</v>
      </c>
      <c r="L10" s="309">
        <f>SUM(H10:I10)</f>
        <v>1510318</v>
      </c>
    </row>
    <row r="11" spans="1:12">
      <c r="A11" s="162" t="s">
        <v>262</v>
      </c>
      <c r="B11" s="163">
        <f>SUM(C11:I11)</f>
        <v>86623151</v>
      </c>
      <c r="C11" s="319">
        <v>25001315</v>
      </c>
      <c r="D11" s="319">
        <v>31088385</v>
      </c>
      <c r="E11" s="319">
        <v>15872796</v>
      </c>
      <c r="F11" s="319">
        <v>1461605</v>
      </c>
      <c r="G11" s="319">
        <v>11694400</v>
      </c>
      <c r="H11" s="319">
        <v>1160398</v>
      </c>
      <c r="I11" s="320">
        <v>344252</v>
      </c>
      <c r="K11" s="309">
        <f>SUM(C11:G11)</f>
        <v>85118501</v>
      </c>
      <c r="L11" s="309">
        <f>SUM(H11:I11)</f>
        <v>1504650</v>
      </c>
    </row>
    <row r="12" spans="1:12">
      <c r="A12" s="268" t="s">
        <v>238</v>
      </c>
      <c r="B12" s="163">
        <f>SUM(C12:I12)</f>
        <v>2045480</v>
      </c>
      <c r="C12" s="164">
        <f t="shared" ref="C12:I12" si="0">+C10-C11</f>
        <v>-102652</v>
      </c>
      <c r="D12" s="164">
        <f t="shared" si="0"/>
        <v>957029</v>
      </c>
      <c r="E12" s="164">
        <f t="shared" si="0"/>
        <v>742230</v>
      </c>
      <c r="F12" s="164">
        <f t="shared" si="0"/>
        <v>-6001</v>
      </c>
      <c r="G12" s="164">
        <f t="shared" si="0"/>
        <v>449206</v>
      </c>
      <c r="H12" s="164">
        <f t="shared" si="0"/>
        <v>5668</v>
      </c>
      <c r="I12" s="165">
        <f t="shared" si="0"/>
        <v>0</v>
      </c>
      <c r="K12" s="309">
        <f>+K10-K11</f>
        <v>2039812</v>
      </c>
      <c r="L12" s="309">
        <f>+L10-L11</f>
        <v>5668</v>
      </c>
    </row>
    <row r="13" spans="1:12">
      <c r="A13" s="131" t="s">
        <v>239</v>
      </c>
      <c r="B13" s="264">
        <f>B12/B10</f>
        <v>2.3068812238682245E-2</v>
      </c>
      <c r="C13" s="265">
        <f t="shared" ref="C13:I13" si="1">C12/C10</f>
        <v>-4.1227916535116768E-3</v>
      </c>
      <c r="D13" s="266">
        <f t="shared" si="1"/>
        <v>2.986477253812355E-2</v>
      </c>
      <c r="E13" s="266">
        <f t="shared" si="1"/>
        <v>4.4672214175289285E-2</v>
      </c>
      <c r="F13" s="266">
        <f t="shared" si="1"/>
        <v>-4.1226872143797352E-3</v>
      </c>
      <c r="G13" s="266">
        <f t="shared" si="1"/>
        <v>3.6991154027889245E-2</v>
      </c>
      <c r="H13" s="266">
        <f t="shared" si="1"/>
        <v>4.8607883258752075E-3</v>
      </c>
      <c r="I13" s="267">
        <f t="shared" si="1"/>
        <v>0</v>
      </c>
    </row>
    <row r="14" spans="1:12">
      <c r="A14" s="17"/>
      <c r="B14" s="143"/>
      <c r="C14" s="44"/>
      <c r="D14" s="44"/>
      <c r="E14" s="44"/>
      <c r="F14" s="44"/>
      <c r="G14" s="44"/>
      <c r="H14" s="44"/>
      <c r="I14" s="45"/>
    </row>
    <row r="15" spans="1:12" hidden="1">
      <c r="A15" s="128" t="s">
        <v>175</v>
      </c>
      <c r="B15" s="141"/>
      <c r="C15" s="124">
        <v>2.4578651685393258E-3</v>
      </c>
      <c r="D15" s="124">
        <v>0.28281679535432924</v>
      </c>
      <c r="E15" s="124">
        <v>0.18148333287208723</v>
      </c>
      <c r="F15" s="124">
        <v>7.0296788804634601E-3</v>
      </c>
      <c r="G15" s="124">
        <v>0.52621232772458071</v>
      </c>
      <c r="H15" s="43"/>
      <c r="I15" s="42"/>
    </row>
    <row r="16" spans="1:12">
      <c r="A16" s="17" t="s">
        <v>263</v>
      </c>
      <c r="B16" s="141">
        <f>ROUND(SUM(C10:G10)*0.05,0)</f>
        <v>4357916</v>
      </c>
      <c r="C16" s="125"/>
      <c r="D16" s="125"/>
      <c r="E16" s="125"/>
      <c r="F16" s="125"/>
      <c r="G16" s="125"/>
      <c r="H16" s="129"/>
      <c r="I16" s="130"/>
    </row>
    <row r="17" spans="1:9" s="10" customFormat="1">
      <c r="A17" s="168" t="s">
        <v>176</v>
      </c>
      <c r="B17" s="163">
        <f>SUM(C17:I17)</f>
        <v>4357916</v>
      </c>
      <c r="C17" s="166">
        <f>+ROUND((+C15*$B$16),0)</f>
        <v>10711</v>
      </c>
      <c r="D17" s="166">
        <f>ROUND((+D15*$B$16),0)</f>
        <v>1232492</v>
      </c>
      <c r="E17" s="166">
        <f>ROUND((+E15*$B$16),0)</f>
        <v>790889</v>
      </c>
      <c r="F17" s="166">
        <f>ROUND((+F15*$B$16),0)</f>
        <v>30635</v>
      </c>
      <c r="G17" s="166">
        <f>ROUND((+G15*$B$16),0)</f>
        <v>2293189</v>
      </c>
      <c r="H17" s="166"/>
      <c r="I17" s="167"/>
    </row>
    <row r="18" spans="1:9" s="39" customFormat="1">
      <c r="A18" s="131"/>
      <c r="B18" s="144"/>
      <c r="C18" s="132"/>
      <c r="D18" s="132"/>
      <c r="E18" s="132"/>
      <c r="F18" s="132"/>
      <c r="G18" s="132"/>
      <c r="H18" s="126"/>
      <c r="I18" s="127"/>
    </row>
    <row r="19" spans="1:9" ht="17.25">
      <c r="A19" s="34" t="s">
        <v>183</v>
      </c>
      <c r="B19" s="141">
        <f>SUM(C19:I19)</f>
        <v>1570726</v>
      </c>
      <c r="C19" s="41">
        <v>404660</v>
      </c>
      <c r="D19" s="44"/>
      <c r="E19" s="41"/>
      <c r="F19" s="41"/>
      <c r="G19" s="41"/>
      <c r="H19" s="41">
        <f>+H10</f>
        <v>1166066</v>
      </c>
      <c r="I19" s="42"/>
    </row>
    <row r="20" spans="1:9">
      <c r="A20" s="34" t="s">
        <v>28</v>
      </c>
      <c r="B20" s="141">
        <f>SUM(C20:I20)</f>
        <v>344252</v>
      </c>
      <c r="C20" s="41"/>
      <c r="D20" s="41"/>
      <c r="E20" s="41"/>
      <c r="F20" s="41"/>
      <c r="G20" s="41"/>
      <c r="H20" s="41"/>
      <c r="I20" s="42">
        <f>I10</f>
        <v>344252</v>
      </c>
    </row>
    <row r="21" spans="1:9">
      <c r="A21" s="137"/>
      <c r="B21" s="145"/>
      <c r="C21" s="138"/>
      <c r="D21" s="138"/>
      <c r="E21" s="138"/>
      <c r="F21" s="138"/>
      <c r="G21" s="138"/>
      <c r="H21" s="138"/>
      <c r="I21" s="139"/>
    </row>
    <row r="22" spans="1:9" ht="17.25">
      <c r="A22" s="17" t="s">
        <v>178</v>
      </c>
      <c r="B22" s="143">
        <f>B10-B17-B19-B20</f>
        <v>82395737</v>
      </c>
      <c r="C22" s="44">
        <f>SUM(C10-C17-C19)</f>
        <v>24483292</v>
      </c>
      <c r="D22" s="44">
        <f>SUM(D10-D17)</f>
        <v>30812922</v>
      </c>
      <c r="E22" s="44">
        <f>SUM(E10-E17)</f>
        <v>15824137</v>
      </c>
      <c r="F22" s="44">
        <f>SUM(F10-F17)</f>
        <v>1424969</v>
      </c>
      <c r="G22" s="44">
        <f>SUM(G10-G17)</f>
        <v>9850417</v>
      </c>
      <c r="H22" s="44"/>
      <c r="I22" s="45"/>
    </row>
    <row r="23" spans="1:9" ht="17.25">
      <c r="A23" s="15" t="s">
        <v>177</v>
      </c>
      <c r="B23" s="146">
        <f>SUM(C23:G23)</f>
        <v>8239574</v>
      </c>
      <c r="C23" s="126">
        <f>ROUND((C22*10%+F22*10%),0)</f>
        <v>2590826</v>
      </c>
      <c r="D23" s="126">
        <f>ROUND((D22*10%),0)</f>
        <v>3081292</v>
      </c>
      <c r="E23" s="126">
        <f>ROUND((E22*10%),0)</f>
        <v>1582414</v>
      </c>
      <c r="F23" s="126"/>
      <c r="G23" s="126">
        <f>ROUND((G22*10%),0)</f>
        <v>985042</v>
      </c>
      <c r="H23" s="126"/>
      <c r="I23" s="127"/>
    </row>
    <row r="24" spans="1:9">
      <c r="A24" s="162" t="s">
        <v>264</v>
      </c>
      <c r="B24" s="147">
        <f>+B22-B23</f>
        <v>74156163</v>
      </c>
      <c r="C24" s="135">
        <f t="shared" ref="C24:G24" si="2">C22-C23</f>
        <v>21892466</v>
      </c>
      <c r="D24" s="135">
        <f t="shared" si="2"/>
        <v>27731630</v>
      </c>
      <c r="E24" s="135">
        <f t="shared" si="2"/>
        <v>14241723</v>
      </c>
      <c r="F24" s="135">
        <f t="shared" si="2"/>
        <v>1424969</v>
      </c>
      <c r="G24" s="135">
        <f t="shared" si="2"/>
        <v>8865375</v>
      </c>
      <c r="H24" s="135"/>
      <c r="I24" s="169"/>
    </row>
    <row r="25" spans="1:9" ht="8.25" customHeight="1">
      <c r="A25" s="15"/>
      <c r="B25" s="141"/>
      <c r="C25" s="41"/>
      <c r="D25" s="41"/>
      <c r="E25" s="41"/>
      <c r="F25" s="41"/>
      <c r="G25" s="41"/>
      <c r="H25" s="41"/>
      <c r="I25" s="42"/>
    </row>
    <row r="26" spans="1:9">
      <c r="A26" s="128" t="s">
        <v>265</v>
      </c>
      <c r="B26" s="142">
        <f>SUM(C26:G26)</f>
        <v>8239574</v>
      </c>
      <c r="C26" s="41">
        <f>+C23</f>
        <v>2590826</v>
      </c>
      <c r="D26" s="41">
        <f t="shared" ref="D26:G26" si="3">+D23</f>
        <v>3081292</v>
      </c>
      <c r="E26" s="41">
        <f t="shared" si="3"/>
        <v>1582414</v>
      </c>
      <c r="F26" s="41">
        <f t="shared" si="3"/>
        <v>0</v>
      </c>
      <c r="G26" s="41">
        <f t="shared" si="3"/>
        <v>985042</v>
      </c>
      <c r="H26" s="41"/>
      <c r="I26" s="42"/>
    </row>
    <row r="27" spans="1:9">
      <c r="A27" s="128"/>
      <c r="B27" s="142"/>
      <c r="C27" s="41"/>
      <c r="D27" s="41"/>
      <c r="E27" s="41"/>
      <c r="F27" s="41"/>
      <c r="G27" s="41"/>
      <c r="H27" s="41"/>
      <c r="I27" s="42"/>
    </row>
    <row r="28" spans="1:9" ht="15.75" thickBot="1">
      <c r="A28" s="136" t="s">
        <v>264</v>
      </c>
      <c r="B28" s="225">
        <f>SUM(C28:G28)</f>
        <v>74156163</v>
      </c>
      <c r="C28" s="46">
        <f t="shared" ref="C28:G28" si="4">+C24</f>
        <v>21892466</v>
      </c>
      <c r="D28" s="46">
        <f t="shared" si="4"/>
        <v>27731630</v>
      </c>
      <c r="E28" s="46">
        <f t="shared" si="4"/>
        <v>14241723</v>
      </c>
      <c r="F28" s="46">
        <f t="shared" si="4"/>
        <v>1424969</v>
      </c>
      <c r="G28" s="46">
        <f t="shared" si="4"/>
        <v>8865375</v>
      </c>
      <c r="H28" s="46"/>
      <c r="I28" s="47"/>
    </row>
    <row r="29" spans="1:9" ht="15.75" thickBot="1">
      <c r="A29" s="16"/>
      <c r="B29" s="36"/>
      <c r="C29" s="37"/>
      <c r="D29" s="37"/>
      <c r="E29" s="37"/>
      <c r="F29" s="37"/>
      <c r="G29" s="37"/>
      <c r="H29" s="16"/>
      <c r="I29" s="16"/>
    </row>
    <row r="30" spans="1:9">
      <c r="B30" s="16"/>
      <c r="C30" s="16"/>
      <c r="D30" s="16"/>
      <c r="E30" s="16"/>
      <c r="F30" s="16"/>
      <c r="G30" s="38" t="s">
        <v>28</v>
      </c>
      <c r="H30" s="28"/>
      <c r="I30" s="29"/>
    </row>
    <row r="31" spans="1:9" ht="15.75" thickBot="1">
      <c r="A31" s="18"/>
      <c r="B31" s="18"/>
      <c r="C31" s="18"/>
      <c r="D31" s="18"/>
      <c r="E31" s="18"/>
      <c r="G31" s="22" t="s">
        <v>267</v>
      </c>
      <c r="H31" s="23"/>
      <c r="I31" s="31" t="s">
        <v>268</v>
      </c>
    </row>
    <row r="32" spans="1:9">
      <c r="A32" s="18"/>
      <c r="B32" s="18"/>
      <c r="C32" s="18"/>
      <c r="D32" s="18"/>
      <c r="E32" s="18"/>
      <c r="G32" s="24" t="s">
        <v>5</v>
      </c>
      <c r="H32" s="21" t="s">
        <v>269</v>
      </c>
      <c r="I32" s="25" t="s">
        <v>27</v>
      </c>
    </row>
    <row r="33" spans="1:9">
      <c r="A33" s="18"/>
      <c r="B33" s="18"/>
      <c r="C33" s="18"/>
      <c r="D33" s="18"/>
      <c r="E33" s="18"/>
      <c r="F33" s="18"/>
      <c r="G33" s="24">
        <v>1</v>
      </c>
      <c r="H33" s="32"/>
      <c r="I33" s="170">
        <v>21266.91</v>
      </c>
    </row>
    <row r="34" spans="1:9">
      <c r="G34" s="24">
        <v>2</v>
      </c>
      <c r="H34" s="32"/>
      <c r="I34" s="170">
        <v>21266.91</v>
      </c>
    </row>
    <row r="35" spans="1:9">
      <c r="G35" s="24">
        <v>3</v>
      </c>
      <c r="H35" s="32"/>
      <c r="I35" s="170">
        <v>21266.91</v>
      </c>
    </row>
    <row r="36" spans="1:9">
      <c r="A36" s="133" t="s">
        <v>26</v>
      </c>
      <c r="G36" s="24">
        <v>4</v>
      </c>
      <c r="H36" s="32"/>
      <c r="I36" s="170">
        <v>21266.91</v>
      </c>
    </row>
    <row r="37" spans="1:9">
      <c r="A37" s="9" t="s">
        <v>225</v>
      </c>
      <c r="G37" s="24">
        <v>5</v>
      </c>
      <c r="H37" s="32"/>
      <c r="I37" s="170">
        <v>21266.91</v>
      </c>
    </row>
    <row r="38" spans="1:9">
      <c r="A38" s="9" t="s">
        <v>182</v>
      </c>
      <c r="G38" s="24">
        <v>6</v>
      </c>
      <c r="H38" s="32"/>
      <c r="I38" s="170">
        <v>21266.91</v>
      </c>
    </row>
    <row r="39" spans="1:9">
      <c r="A39" s="9" t="s">
        <v>180</v>
      </c>
      <c r="G39" s="24">
        <v>7</v>
      </c>
      <c r="H39" s="32"/>
      <c r="I39" s="170">
        <v>21266.91</v>
      </c>
    </row>
    <row r="40" spans="1:9">
      <c r="A40" s="149" t="s">
        <v>181</v>
      </c>
      <c r="G40" s="24">
        <v>8</v>
      </c>
      <c r="H40" s="32"/>
      <c r="I40" s="170">
        <v>21266.91</v>
      </c>
    </row>
    <row r="41" spans="1:9">
      <c r="A41" s="26" t="s">
        <v>236</v>
      </c>
      <c r="G41" s="24">
        <v>9</v>
      </c>
      <c r="H41" s="32"/>
      <c r="I41" s="170">
        <v>21266.91</v>
      </c>
    </row>
    <row r="42" spans="1:9">
      <c r="A42" s="9" t="s">
        <v>266</v>
      </c>
      <c r="G42" s="24">
        <v>10</v>
      </c>
      <c r="H42" s="32"/>
      <c r="I42" s="170">
        <v>21266.91</v>
      </c>
    </row>
    <row r="43" spans="1:9" ht="15.75" thickBot="1">
      <c r="A43" s="39"/>
      <c r="G43" s="27">
        <v>11</v>
      </c>
      <c r="H43" s="33"/>
      <c r="I43" s="172">
        <v>21266.91</v>
      </c>
    </row>
    <row r="44" spans="1:9">
      <c r="A44" s="40"/>
      <c r="G44" s="30" t="s">
        <v>25</v>
      </c>
      <c r="H44" s="18"/>
      <c r="I44" s="170">
        <f>SUM(I33:I43)</f>
        <v>233936.01</v>
      </c>
    </row>
    <row r="45" spans="1:9">
      <c r="A45" s="39"/>
      <c r="B45" s="9" t="s">
        <v>0</v>
      </c>
      <c r="G45" s="15" t="s">
        <v>24</v>
      </c>
      <c r="H45" s="16"/>
      <c r="I45" s="171">
        <f>I10-I44</f>
        <v>110315.98999999999</v>
      </c>
    </row>
    <row r="46" spans="1:9" ht="15.75" thickBot="1">
      <c r="A46" s="26"/>
      <c r="B46" s="9" t="s">
        <v>0</v>
      </c>
      <c r="G46" s="19" t="s">
        <v>23</v>
      </c>
      <c r="H46" s="20"/>
      <c r="I46" s="172">
        <f>SUM(I44:I45)</f>
        <v>344252</v>
      </c>
    </row>
    <row r="47" spans="1:9">
      <c r="A47" s="39"/>
    </row>
    <row r="48" spans="1:9">
      <c r="A48" s="39"/>
    </row>
  </sheetData>
  <pageMargins left="0.45" right="0.45" top="0.75" bottom="0.75" header="0.3" footer="0.3"/>
  <pageSetup scale="67" fitToHeight="0" orientation="landscape" r:id="rId1"/>
  <headerFooter>
    <oddFooter>&amp;C&amp;11Page &amp;P of &amp;N</oddFooter>
  </headerFooter>
  <rowBreaks count="1" manualBreakCount="1">
    <brk id="29" max="8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pageSetUpPr fitToPage="1"/>
  </sheetPr>
  <dimension ref="A1:X33"/>
  <sheetViews>
    <sheetView showGridLines="0" topLeftCell="E1" zoomScale="85" zoomScaleNormal="85" workbookViewId="0">
      <selection activeCell="U27" sqref="U27"/>
    </sheetView>
  </sheetViews>
  <sheetFormatPr defaultColWidth="8" defaultRowHeight="15.75"/>
  <cols>
    <col min="1" max="1" width="1.44140625" style="71" customWidth="1"/>
    <col min="2" max="2" width="4.5546875" style="71" customWidth="1"/>
    <col min="3" max="4" width="8.33203125" style="71" customWidth="1"/>
    <col min="5" max="6" width="13.6640625" style="71" customWidth="1"/>
    <col min="7" max="7" width="13.6640625" style="71" hidden="1" customWidth="1"/>
    <col min="8" max="10" width="13.6640625" style="71" customWidth="1"/>
    <col min="11" max="11" width="13.6640625" style="71" hidden="1" customWidth="1"/>
    <col min="12" max="14" width="13.6640625" style="71" customWidth="1"/>
    <col min="15" max="15" width="13.6640625" style="71" hidden="1" customWidth="1"/>
    <col min="16" max="18" width="13.6640625" style="71" customWidth="1"/>
    <col min="19" max="19" width="13.6640625" style="71" hidden="1" customWidth="1"/>
    <col min="20" max="24" width="13.6640625" style="71" customWidth="1"/>
    <col min="25" max="16384" width="8" style="71"/>
  </cols>
  <sheetData>
    <row r="1" spans="1:24" ht="18.75">
      <c r="A1" s="119" t="str">
        <f>+'2016 Award #2'!A2</f>
        <v>Grant Award: 2016 Older Americans Act Allocation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119"/>
      <c r="T1" s="119"/>
      <c r="U1" s="119"/>
      <c r="V1" s="119"/>
      <c r="W1" s="119"/>
      <c r="X1" s="119"/>
    </row>
    <row r="2" spans="1:24">
      <c r="A2" s="120" t="s">
        <v>139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120"/>
    </row>
    <row r="3" spans="1:24" ht="18.75" customHeight="1">
      <c r="A3" s="121" t="str">
        <f>+'Summary by AAA'!A3</f>
        <v>Balance Allocated Using 2016 Population Projections (2000 Census)</v>
      </c>
      <c r="B3" s="121"/>
      <c r="C3" s="121"/>
      <c r="D3" s="121"/>
      <c r="E3" s="121"/>
      <c r="F3" s="121"/>
      <c r="G3" s="121"/>
      <c r="H3" s="121"/>
      <c r="I3" s="223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</row>
    <row r="4" spans="1:24">
      <c r="A4" s="50"/>
      <c r="B4" s="50"/>
      <c r="C4" s="50"/>
      <c r="D4" s="50"/>
      <c r="E4" s="50"/>
      <c r="F4" s="50"/>
      <c r="G4" s="50"/>
      <c r="H4" s="50"/>
      <c r="I4" s="224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</row>
    <row r="5" spans="1:24" ht="16.5" thickBot="1">
      <c r="A5" s="50"/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</row>
    <row r="6" spans="1:24" s="96" customFormat="1" ht="7.5" customHeight="1">
      <c r="A6" s="66"/>
      <c r="B6" s="66"/>
      <c r="C6" s="87"/>
      <c r="D6" s="87"/>
      <c r="E6" s="68"/>
      <c r="F6" s="67"/>
      <c r="G6" s="67"/>
      <c r="H6" s="69"/>
      <c r="I6" s="68"/>
      <c r="J6" s="67"/>
      <c r="K6" s="67"/>
      <c r="L6" s="69"/>
      <c r="M6" s="68"/>
      <c r="N6" s="67"/>
      <c r="O6" s="67"/>
      <c r="P6" s="69"/>
      <c r="Q6" s="68"/>
      <c r="R6" s="67"/>
      <c r="S6" s="67"/>
      <c r="T6" s="69"/>
      <c r="U6" s="70"/>
      <c r="V6" s="70"/>
      <c r="W6" s="77"/>
      <c r="X6" s="81"/>
    </row>
    <row r="7" spans="1:24" s="72" customFormat="1">
      <c r="A7" s="51"/>
      <c r="B7" s="51"/>
      <c r="C7" s="95">
        <v>2003</v>
      </c>
      <c r="D7" s="95">
        <v>2016</v>
      </c>
      <c r="E7" s="53">
        <v>2003</v>
      </c>
      <c r="F7" s="52">
        <v>2016</v>
      </c>
      <c r="G7" s="295">
        <v>2014</v>
      </c>
      <c r="H7" s="64">
        <v>2016</v>
      </c>
      <c r="I7" s="53">
        <v>2003</v>
      </c>
      <c r="J7" s="52">
        <v>2016</v>
      </c>
      <c r="K7" s="295">
        <v>2014</v>
      </c>
      <c r="L7" s="64">
        <v>2016</v>
      </c>
      <c r="M7" s="53">
        <v>2003</v>
      </c>
      <c r="N7" s="52">
        <v>2016</v>
      </c>
      <c r="O7" s="295">
        <v>2014</v>
      </c>
      <c r="P7" s="64">
        <v>2016</v>
      </c>
      <c r="Q7" s="53">
        <v>2003</v>
      </c>
      <c r="R7" s="52">
        <v>2016</v>
      </c>
      <c r="S7" s="295">
        <v>2014</v>
      </c>
      <c r="T7" s="64">
        <v>2016</v>
      </c>
      <c r="U7" s="65">
        <v>2016</v>
      </c>
      <c r="V7" s="65">
        <v>2016</v>
      </c>
      <c r="W7" s="78">
        <v>2016</v>
      </c>
      <c r="X7" s="82"/>
    </row>
    <row r="8" spans="1:24">
      <c r="A8" s="48"/>
      <c r="B8" s="48"/>
      <c r="C8" s="88" t="s">
        <v>2</v>
      </c>
      <c r="D8" s="88" t="s">
        <v>2</v>
      </c>
      <c r="E8" s="53" t="s">
        <v>187</v>
      </c>
      <c r="F8" s="63">
        <f>+F29</f>
        <v>-622775</v>
      </c>
      <c r="G8" s="296">
        <f>+G29</f>
        <v>0</v>
      </c>
      <c r="H8" s="64" t="s">
        <v>187</v>
      </c>
      <c r="I8" s="54" t="s">
        <v>188</v>
      </c>
      <c r="J8" s="63">
        <f>+J29</f>
        <v>6119443</v>
      </c>
      <c r="K8" s="296">
        <f>+K29</f>
        <v>0</v>
      </c>
      <c r="L8" s="64" t="s">
        <v>188</v>
      </c>
      <c r="M8" s="54" t="s">
        <v>189</v>
      </c>
      <c r="N8" s="63">
        <f>+N29</f>
        <v>2850910</v>
      </c>
      <c r="O8" s="296">
        <f>+O29</f>
        <v>0</v>
      </c>
      <c r="P8" s="64" t="s">
        <v>189</v>
      </c>
      <c r="Q8" s="54" t="s">
        <v>190</v>
      </c>
      <c r="R8" s="63">
        <f>+R29</f>
        <v>305859</v>
      </c>
      <c r="S8" s="296">
        <f>+S29</f>
        <v>0</v>
      </c>
      <c r="T8" s="64" t="s">
        <v>190</v>
      </c>
      <c r="U8" s="65" t="s">
        <v>3</v>
      </c>
      <c r="V8" s="65" t="s">
        <v>4</v>
      </c>
      <c r="W8" s="78" t="s">
        <v>3</v>
      </c>
      <c r="X8" s="82" t="s">
        <v>1</v>
      </c>
    </row>
    <row r="9" spans="1:24">
      <c r="A9" s="48"/>
      <c r="B9" s="48" t="s">
        <v>5</v>
      </c>
      <c r="C9" s="88"/>
      <c r="D9" s="88"/>
      <c r="E9" s="54" t="s">
        <v>6</v>
      </c>
      <c r="F9" s="86" t="s">
        <v>146</v>
      </c>
      <c r="G9" s="297" t="s">
        <v>234</v>
      </c>
      <c r="H9" s="64" t="s">
        <v>6</v>
      </c>
      <c r="I9" s="54" t="s">
        <v>8</v>
      </c>
      <c r="J9" s="86" t="s">
        <v>146</v>
      </c>
      <c r="K9" s="297" t="s">
        <v>234</v>
      </c>
      <c r="L9" s="64" t="s">
        <v>8</v>
      </c>
      <c r="M9" s="54" t="s">
        <v>9</v>
      </c>
      <c r="N9" s="86" t="s">
        <v>146</v>
      </c>
      <c r="O9" s="297" t="s">
        <v>234</v>
      </c>
      <c r="P9" s="64" t="s">
        <v>9</v>
      </c>
      <c r="Q9" s="54" t="s">
        <v>15</v>
      </c>
      <c r="R9" s="86" t="s">
        <v>146</v>
      </c>
      <c r="S9" s="297" t="s">
        <v>234</v>
      </c>
      <c r="T9" s="64" t="s">
        <v>15</v>
      </c>
      <c r="U9" s="65" t="s">
        <v>10</v>
      </c>
      <c r="V9" s="65" t="s">
        <v>10</v>
      </c>
      <c r="W9" s="78" t="s">
        <v>11</v>
      </c>
      <c r="X9" s="83" t="s">
        <v>3</v>
      </c>
    </row>
    <row r="10" spans="1:24">
      <c r="A10" s="48"/>
      <c r="B10" s="48"/>
      <c r="C10" s="88"/>
      <c r="D10" s="88"/>
      <c r="E10" s="54" t="s">
        <v>12</v>
      </c>
      <c r="F10" s="55" t="s">
        <v>147</v>
      </c>
      <c r="G10" s="298" t="s">
        <v>146</v>
      </c>
      <c r="H10" s="64" t="s">
        <v>12</v>
      </c>
      <c r="I10" s="54" t="s">
        <v>13</v>
      </c>
      <c r="J10" s="55" t="s">
        <v>147</v>
      </c>
      <c r="K10" s="298" t="s">
        <v>146</v>
      </c>
      <c r="L10" s="64" t="s">
        <v>13</v>
      </c>
      <c r="M10" s="54" t="s">
        <v>13</v>
      </c>
      <c r="N10" s="55" t="s">
        <v>147</v>
      </c>
      <c r="O10" s="298" t="s">
        <v>146</v>
      </c>
      <c r="P10" s="64" t="s">
        <v>13</v>
      </c>
      <c r="Q10" s="54" t="s">
        <v>14</v>
      </c>
      <c r="R10" s="55" t="s">
        <v>148</v>
      </c>
      <c r="S10" s="298" t="s">
        <v>146</v>
      </c>
      <c r="T10" s="64" t="s">
        <v>14</v>
      </c>
      <c r="U10" s="65" t="s">
        <v>16</v>
      </c>
      <c r="V10" s="65" t="s">
        <v>16</v>
      </c>
      <c r="W10" s="78" t="s">
        <v>17</v>
      </c>
      <c r="X10" s="82" t="s">
        <v>12</v>
      </c>
    </row>
    <row r="11" spans="1:24" ht="7.5" customHeight="1" thickBot="1">
      <c r="A11" s="48"/>
      <c r="B11" s="48"/>
      <c r="C11" s="100"/>
      <c r="D11" s="100"/>
      <c r="E11" s="56"/>
      <c r="F11" s="56"/>
      <c r="G11" s="56"/>
      <c r="H11" s="64"/>
      <c r="I11" s="56"/>
      <c r="J11" s="56"/>
      <c r="K11" s="56"/>
      <c r="L11" s="64"/>
      <c r="M11" s="56"/>
      <c r="N11" s="56"/>
      <c r="O11" s="56"/>
      <c r="P11" s="64"/>
      <c r="Q11" s="56"/>
      <c r="R11" s="56"/>
      <c r="S11" s="56"/>
      <c r="T11" s="64"/>
      <c r="U11" s="134"/>
      <c r="V11" s="134"/>
      <c r="W11" s="78"/>
      <c r="X11" s="82"/>
    </row>
    <row r="12" spans="1:24" ht="24" customHeight="1">
      <c r="A12" s="58"/>
      <c r="B12" s="97">
        <v>1</v>
      </c>
      <c r="C12" s="99">
        <f>+'2003 Base Factors'!F5</f>
        <v>3.2346433289943771E-2</v>
      </c>
      <c r="D12" s="99">
        <f>VLOOKUP(B12,'Pivot - Demographics'!$A$4:$F$16,6,0)</f>
        <v>2.7102939659980344E-2</v>
      </c>
      <c r="E12" s="270">
        <v>728288</v>
      </c>
      <c r="F12" s="270">
        <f>IF($F$8&gt;0,ROUND($F$8*$D12,0),ROUND($F$8*$C12,0))</f>
        <v>-20145</v>
      </c>
      <c r="G12" s="270">
        <f>ROUND($G$8*$D12,0)+2</f>
        <v>2</v>
      </c>
      <c r="H12" s="271">
        <f t="shared" ref="H12:H22" si="0">SUM(E12:F12)</f>
        <v>708143</v>
      </c>
      <c r="I12" s="270">
        <v>699077</v>
      </c>
      <c r="J12" s="270">
        <f>IF($J$8&gt;0,ROUND($J$8*$D12,0),ROUND($J$8*$C12,0))-1</f>
        <v>165854</v>
      </c>
      <c r="K12" s="270">
        <f>ROUND($K$8*$D12,0)</f>
        <v>0</v>
      </c>
      <c r="L12" s="271">
        <f>SUM(I12:J12)</f>
        <v>864931</v>
      </c>
      <c r="M12" s="270">
        <v>368452</v>
      </c>
      <c r="N12" s="270">
        <f>IF($N$8&gt;0,ROUND($N$8*$D12,0),ROUND($N$8*$C12,0))+1</f>
        <v>77269</v>
      </c>
      <c r="O12" s="270">
        <f>ROUND($O$8*$D12,0)-1</f>
        <v>-1</v>
      </c>
      <c r="P12" s="271">
        <f t="shared" ref="P12:P22" si="1">SUM(M12:N12)</f>
        <v>445721</v>
      </c>
      <c r="Q12" s="270">
        <v>276870</v>
      </c>
      <c r="R12" s="270">
        <f>IF($R$8&gt;0,ROUND($R$8*$D12,0),ROUND($R$8*$C12,0))</f>
        <v>8290</v>
      </c>
      <c r="S12" s="270">
        <f>ROUND($S$8*$D12,0)+2</f>
        <v>2</v>
      </c>
      <c r="T12" s="271">
        <f t="shared" ref="T12:T22" si="2">SUM(Q12:R12)</f>
        <v>285160</v>
      </c>
      <c r="U12" s="272">
        <v>345962</v>
      </c>
      <c r="V12" s="272">
        <v>14570</v>
      </c>
      <c r="W12" s="273">
        <f>+H12+L12+P12+T12+U12+V12</f>
        <v>2664487</v>
      </c>
      <c r="X12" s="274">
        <f>+H12+L12+P12+T12</f>
        <v>2303955</v>
      </c>
    </row>
    <row r="13" spans="1:24" ht="24" customHeight="1">
      <c r="A13" s="59"/>
      <c r="B13" s="98">
        <v>2</v>
      </c>
      <c r="C13" s="99">
        <f>+'2003 Base Factors'!F6</f>
        <v>3.7307159143496388E-2</v>
      </c>
      <c r="D13" s="89">
        <f>VLOOKUP(B13,'Pivot - Demographics'!$A$4:$F$16,6,0)</f>
        <v>3.0036294662851966E-2</v>
      </c>
      <c r="E13" s="269">
        <v>839980</v>
      </c>
      <c r="F13" s="269">
        <f t="shared" ref="F13:F22" si="3">IF($F$8&gt;0,ROUND($F$8*$D13,0),ROUND($F$8*$C13,0))</f>
        <v>-23234</v>
      </c>
      <c r="G13" s="269">
        <f>ROUND($G$8*$D13,0)</f>
        <v>0</v>
      </c>
      <c r="H13" s="275">
        <f t="shared" si="0"/>
        <v>816746</v>
      </c>
      <c r="I13" s="269">
        <v>806289</v>
      </c>
      <c r="J13" s="269">
        <f t="shared" ref="J13:J22" si="4">IF($J$8&gt;0,ROUND($J$8*$D13,0),ROUND($J$8*$C13,0))</f>
        <v>183805</v>
      </c>
      <c r="K13" s="269">
        <f t="shared" ref="K13:K22" si="5">ROUND($K$8*$D13,0)</f>
        <v>0</v>
      </c>
      <c r="L13" s="275">
        <f t="shared" ref="L13:L22" si="6">SUM(I13:J13)</f>
        <v>990094</v>
      </c>
      <c r="M13" s="269">
        <v>424959</v>
      </c>
      <c r="N13" s="269">
        <f t="shared" ref="N13:N22" si="7">IF($N$8&gt;0,ROUND($N$8*$D13,0),ROUND($N$8*$C13,0))</f>
        <v>85631</v>
      </c>
      <c r="O13" s="269">
        <f t="shared" ref="O13:O22" si="8">ROUND($O$8*$D13,0)</f>
        <v>0</v>
      </c>
      <c r="P13" s="275">
        <f t="shared" si="1"/>
        <v>510590</v>
      </c>
      <c r="Q13" s="269">
        <v>319331</v>
      </c>
      <c r="R13" s="269">
        <f t="shared" ref="R13:R22" si="9">IF($R$8&gt;0,ROUND($R$8*$D13,0),ROUND($R$8*$C13,0))</f>
        <v>9187</v>
      </c>
      <c r="S13" s="269">
        <f t="shared" ref="S13:S22" si="10">ROUND($S$8*$D13,0)</f>
        <v>0</v>
      </c>
      <c r="T13" s="275">
        <f t="shared" si="2"/>
        <v>328518</v>
      </c>
      <c r="U13" s="272">
        <v>462134</v>
      </c>
      <c r="V13" s="272">
        <v>19462</v>
      </c>
      <c r="W13" s="276">
        <f>+H13+L13+P13+T13+U13+V13</f>
        <v>3127544</v>
      </c>
      <c r="X13" s="277">
        <f>+H13+L13+P13+T13</f>
        <v>2645948</v>
      </c>
    </row>
    <row r="14" spans="1:24" ht="24" customHeight="1">
      <c r="A14" s="59"/>
      <c r="B14" s="98">
        <v>3</v>
      </c>
      <c r="C14" s="99">
        <f>+'2003 Base Factors'!F7</f>
        <v>9.8387186533890128E-2</v>
      </c>
      <c r="D14" s="89">
        <f>VLOOKUP(B14,'Pivot - Demographics'!$A$4:$F$16,6,0)</f>
        <v>9.1418471446452182E-2</v>
      </c>
      <c r="E14" s="269">
        <v>2215211</v>
      </c>
      <c r="F14" s="269">
        <f t="shared" si="3"/>
        <v>-61273</v>
      </c>
      <c r="G14" s="269">
        <f t="shared" ref="G14:G22" si="11">ROUND($G$8*$D14,0)</f>
        <v>0</v>
      </c>
      <c r="H14" s="275">
        <f t="shared" si="0"/>
        <v>2153938</v>
      </c>
      <c r="I14" s="269">
        <v>2126362</v>
      </c>
      <c r="J14" s="269">
        <f t="shared" si="4"/>
        <v>559430</v>
      </c>
      <c r="K14" s="269">
        <f t="shared" si="5"/>
        <v>0</v>
      </c>
      <c r="L14" s="275">
        <f t="shared" si="6"/>
        <v>2685792</v>
      </c>
      <c r="M14" s="269">
        <v>1120710</v>
      </c>
      <c r="N14" s="269">
        <f t="shared" si="7"/>
        <v>260626</v>
      </c>
      <c r="O14" s="269">
        <f t="shared" si="8"/>
        <v>0</v>
      </c>
      <c r="P14" s="275">
        <f t="shared" si="1"/>
        <v>1381336</v>
      </c>
      <c r="Q14" s="269">
        <v>842147</v>
      </c>
      <c r="R14" s="269">
        <f t="shared" si="9"/>
        <v>27961</v>
      </c>
      <c r="S14" s="269">
        <f t="shared" si="10"/>
        <v>0</v>
      </c>
      <c r="T14" s="275">
        <f t="shared" si="2"/>
        <v>870108</v>
      </c>
      <c r="U14" s="272">
        <v>909605</v>
      </c>
      <c r="V14" s="272">
        <v>38307</v>
      </c>
      <c r="W14" s="276">
        <f t="shared" ref="W14:W22" si="12">+H14+L14+P14+T14+U14+V14</f>
        <v>8039086</v>
      </c>
      <c r="X14" s="277">
        <f t="shared" ref="X14:X22" si="13">+H14+L14+P14+T14</f>
        <v>7091174</v>
      </c>
    </row>
    <row r="15" spans="1:24" ht="24" customHeight="1">
      <c r="A15" s="59"/>
      <c r="B15" s="98">
        <v>4</v>
      </c>
      <c r="C15" s="99">
        <f>+'2003 Base Factors'!F8</f>
        <v>8.7487139002079259E-2</v>
      </c>
      <c r="D15" s="89">
        <f>VLOOKUP(B15,'Pivot - Demographics'!$A$4:$F$16,6,0)</f>
        <v>8.5327296727986141E-2</v>
      </c>
      <c r="E15" s="269">
        <v>1969794</v>
      </c>
      <c r="F15" s="269">
        <f t="shared" si="3"/>
        <v>-54485</v>
      </c>
      <c r="G15" s="269">
        <f t="shared" si="11"/>
        <v>0</v>
      </c>
      <c r="H15" s="275">
        <f t="shared" si="0"/>
        <v>1915309</v>
      </c>
      <c r="I15" s="269">
        <v>1890788</v>
      </c>
      <c r="J15" s="269">
        <f t="shared" si="4"/>
        <v>522156</v>
      </c>
      <c r="K15" s="269">
        <f t="shared" si="5"/>
        <v>0</v>
      </c>
      <c r="L15" s="275">
        <f t="shared" si="6"/>
        <v>2412944</v>
      </c>
      <c r="M15" s="269">
        <v>996550</v>
      </c>
      <c r="N15" s="269">
        <f t="shared" si="7"/>
        <v>243260</v>
      </c>
      <c r="O15" s="269">
        <f t="shared" si="8"/>
        <v>0</v>
      </c>
      <c r="P15" s="275">
        <f t="shared" si="1"/>
        <v>1239810</v>
      </c>
      <c r="Q15" s="269">
        <v>748848</v>
      </c>
      <c r="R15" s="269">
        <f t="shared" si="9"/>
        <v>26098</v>
      </c>
      <c r="S15" s="269">
        <f t="shared" si="10"/>
        <v>0</v>
      </c>
      <c r="T15" s="275">
        <f t="shared" si="2"/>
        <v>774946</v>
      </c>
      <c r="U15" s="272">
        <v>742082</v>
      </c>
      <c r="V15" s="272">
        <v>31252</v>
      </c>
      <c r="W15" s="276">
        <f t="shared" si="12"/>
        <v>7116343</v>
      </c>
      <c r="X15" s="277">
        <f t="shared" si="13"/>
        <v>6343009</v>
      </c>
    </row>
    <row r="16" spans="1:24" ht="24" customHeight="1">
      <c r="A16" s="59"/>
      <c r="B16" s="98">
        <v>5</v>
      </c>
      <c r="C16" s="99">
        <f>+'2003 Base Factors'!F9</f>
        <v>8.0889976371614575E-2</v>
      </c>
      <c r="D16" s="89">
        <f>VLOOKUP(B16,'Pivot - Demographics'!$A$4:$F$16,6,0)</f>
        <v>7.5041348295882521E-2</v>
      </c>
      <c r="E16" s="269">
        <v>1821257</v>
      </c>
      <c r="F16" s="269">
        <f t="shared" si="3"/>
        <v>-50376</v>
      </c>
      <c r="G16" s="269">
        <f t="shared" si="11"/>
        <v>0</v>
      </c>
      <c r="H16" s="275">
        <f t="shared" si="0"/>
        <v>1770881</v>
      </c>
      <c r="I16" s="269">
        <v>1748209</v>
      </c>
      <c r="J16" s="269">
        <f t="shared" si="4"/>
        <v>459211</v>
      </c>
      <c r="K16" s="269">
        <f t="shared" si="5"/>
        <v>0</v>
      </c>
      <c r="L16" s="275">
        <f t="shared" si="6"/>
        <v>2207420</v>
      </c>
      <c r="M16" s="269">
        <v>921403</v>
      </c>
      <c r="N16" s="269">
        <f t="shared" si="7"/>
        <v>213936</v>
      </c>
      <c r="O16" s="269">
        <f t="shared" si="8"/>
        <v>0</v>
      </c>
      <c r="P16" s="275">
        <f t="shared" si="1"/>
        <v>1135339</v>
      </c>
      <c r="Q16" s="269">
        <v>692379</v>
      </c>
      <c r="R16" s="269">
        <f t="shared" si="9"/>
        <v>22952</v>
      </c>
      <c r="S16" s="269">
        <f t="shared" si="10"/>
        <v>0</v>
      </c>
      <c r="T16" s="275">
        <f t="shared" si="2"/>
        <v>715331</v>
      </c>
      <c r="U16" s="272">
        <v>657508</v>
      </c>
      <c r="V16" s="272">
        <v>27690</v>
      </c>
      <c r="W16" s="276">
        <f t="shared" si="12"/>
        <v>6514169</v>
      </c>
      <c r="X16" s="277">
        <f t="shared" si="13"/>
        <v>5828971</v>
      </c>
    </row>
    <row r="17" spans="1:24" ht="24" customHeight="1">
      <c r="A17" s="59"/>
      <c r="B17" s="98">
        <v>6</v>
      </c>
      <c r="C17" s="99">
        <f>+'2003 Base Factors'!F10</f>
        <v>0.11260679758662843</v>
      </c>
      <c r="D17" s="89">
        <f>VLOOKUP(B17,'Pivot - Demographics'!$A$4:$F$16,6,0)</f>
        <v>0.11002993726698779</v>
      </c>
      <c r="E17" s="269">
        <v>2535369</v>
      </c>
      <c r="F17" s="269">
        <f t="shared" si="3"/>
        <v>-70129</v>
      </c>
      <c r="G17" s="269">
        <f t="shared" si="11"/>
        <v>0</v>
      </c>
      <c r="H17" s="275">
        <f t="shared" si="0"/>
        <v>2465240</v>
      </c>
      <c r="I17" s="269">
        <v>2433679</v>
      </c>
      <c r="J17" s="269">
        <f t="shared" si="4"/>
        <v>673322</v>
      </c>
      <c r="K17" s="269">
        <f t="shared" si="5"/>
        <v>0</v>
      </c>
      <c r="L17" s="275">
        <f t="shared" si="6"/>
        <v>3107001</v>
      </c>
      <c r="M17" s="269">
        <v>1282683</v>
      </c>
      <c r="N17" s="269">
        <f t="shared" si="7"/>
        <v>313685</v>
      </c>
      <c r="O17" s="269">
        <f t="shared" si="8"/>
        <v>0</v>
      </c>
      <c r="P17" s="275">
        <f t="shared" si="1"/>
        <v>1596368</v>
      </c>
      <c r="Q17" s="269">
        <v>963860</v>
      </c>
      <c r="R17" s="269">
        <f t="shared" si="9"/>
        <v>33654</v>
      </c>
      <c r="S17" s="269">
        <f t="shared" si="10"/>
        <v>0</v>
      </c>
      <c r="T17" s="275">
        <f t="shared" si="2"/>
        <v>997514</v>
      </c>
      <c r="U17" s="272">
        <v>878968</v>
      </c>
      <c r="V17" s="272">
        <v>37016</v>
      </c>
      <c r="W17" s="276">
        <f t="shared" si="12"/>
        <v>9082107</v>
      </c>
      <c r="X17" s="277">
        <f t="shared" si="13"/>
        <v>8166123</v>
      </c>
    </row>
    <row r="18" spans="1:24" ht="24" customHeight="1">
      <c r="A18" s="59"/>
      <c r="B18" s="98">
        <v>7</v>
      </c>
      <c r="C18" s="99">
        <f>+'2003 Base Factors'!F11</f>
        <v>8.307050472675212E-2</v>
      </c>
      <c r="D18" s="89">
        <f>VLOOKUP(B18,'Pivot - Demographics'!$A$4:$F$16,6,0)</f>
        <v>9.6709231934775916E-2</v>
      </c>
      <c r="E18" s="278">
        <v>1870352</v>
      </c>
      <c r="F18" s="278">
        <f t="shared" si="3"/>
        <v>-51734</v>
      </c>
      <c r="G18" s="269">
        <f t="shared" si="11"/>
        <v>0</v>
      </c>
      <c r="H18" s="275">
        <f t="shared" si="0"/>
        <v>1818618</v>
      </c>
      <c r="I18" s="278">
        <v>1795335</v>
      </c>
      <c r="J18" s="278">
        <f t="shared" si="4"/>
        <v>591807</v>
      </c>
      <c r="K18" s="278">
        <f t="shared" si="5"/>
        <v>0</v>
      </c>
      <c r="L18" s="275">
        <f t="shared" si="6"/>
        <v>2387142</v>
      </c>
      <c r="M18" s="278">
        <v>946241</v>
      </c>
      <c r="N18" s="278">
        <f t="shared" si="7"/>
        <v>275709</v>
      </c>
      <c r="O18" s="278">
        <f t="shared" si="8"/>
        <v>0</v>
      </c>
      <c r="P18" s="275">
        <f t="shared" si="1"/>
        <v>1221950</v>
      </c>
      <c r="Q18" s="278">
        <v>711043</v>
      </c>
      <c r="R18" s="278">
        <f t="shared" si="9"/>
        <v>29579</v>
      </c>
      <c r="S18" s="278">
        <f t="shared" si="10"/>
        <v>0</v>
      </c>
      <c r="T18" s="275">
        <f t="shared" si="2"/>
        <v>740622</v>
      </c>
      <c r="U18" s="272">
        <v>692606</v>
      </c>
      <c r="V18" s="272">
        <v>29168</v>
      </c>
      <c r="W18" s="276">
        <f t="shared" si="12"/>
        <v>6890106</v>
      </c>
      <c r="X18" s="277">
        <f t="shared" si="13"/>
        <v>6168332</v>
      </c>
    </row>
    <row r="19" spans="1:24" ht="24" customHeight="1">
      <c r="A19" s="59"/>
      <c r="B19" s="98">
        <v>8</v>
      </c>
      <c r="C19" s="99">
        <f>+'2003 Base Factors'!F12</f>
        <v>8.5294045404828434E-2</v>
      </c>
      <c r="D19" s="89">
        <f>VLOOKUP(B19,'Pivot - Demographics'!$A$4:$F$16,6,0)</f>
        <v>9.0743193063624994E-2</v>
      </c>
      <c r="E19" s="269">
        <v>1920416</v>
      </c>
      <c r="F19" s="269">
        <f t="shared" si="3"/>
        <v>-53119</v>
      </c>
      <c r="G19" s="269">
        <f t="shared" si="11"/>
        <v>0</v>
      </c>
      <c r="H19" s="275">
        <f t="shared" si="0"/>
        <v>1867297</v>
      </c>
      <c r="I19" s="269">
        <v>1843391</v>
      </c>
      <c r="J19" s="269">
        <f t="shared" si="4"/>
        <v>555298</v>
      </c>
      <c r="K19" s="269">
        <f t="shared" si="5"/>
        <v>0</v>
      </c>
      <c r="L19" s="275">
        <f t="shared" si="6"/>
        <v>2398689</v>
      </c>
      <c r="M19" s="269">
        <v>971569</v>
      </c>
      <c r="N19" s="269">
        <f t="shared" si="7"/>
        <v>258701</v>
      </c>
      <c r="O19" s="269">
        <f t="shared" si="8"/>
        <v>0</v>
      </c>
      <c r="P19" s="275">
        <f t="shared" si="1"/>
        <v>1230270</v>
      </c>
      <c r="Q19" s="269">
        <v>730076</v>
      </c>
      <c r="R19" s="269">
        <f t="shared" si="9"/>
        <v>27755</v>
      </c>
      <c r="S19" s="269">
        <f t="shared" si="10"/>
        <v>0</v>
      </c>
      <c r="T19" s="275">
        <f t="shared" si="2"/>
        <v>757831</v>
      </c>
      <c r="U19" s="272">
        <v>765383</v>
      </c>
      <c r="V19" s="272">
        <v>32233</v>
      </c>
      <c r="W19" s="276">
        <f t="shared" si="12"/>
        <v>7051703</v>
      </c>
      <c r="X19" s="277">
        <f t="shared" si="13"/>
        <v>6254087</v>
      </c>
    </row>
    <row r="20" spans="1:24" ht="24" customHeight="1">
      <c r="A20" s="59"/>
      <c r="B20" s="98">
        <v>9</v>
      </c>
      <c r="C20" s="99">
        <f>+'2003 Base Factors'!F13</f>
        <v>0.10247270052431458</v>
      </c>
      <c r="D20" s="89">
        <f>VLOOKUP(B20,'Pivot - Demographics'!$A$4:$F$16,6,0)</f>
        <v>0.10373455246450231</v>
      </c>
      <c r="E20" s="269">
        <v>2307198</v>
      </c>
      <c r="F20" s="269">
        <f t="shared" si="3"/>
        <v>-63817</v>
      </c>
      <c r="G20" s="269">
        <f t="shared" si="11"/>
        <v>0</v>
      </c>
      <c r="H20" s="275">
        <f t="shared" si="0"/>
        <v>2243381</v>
      </c>
      <c r="I20" s="269">
        <v>2214659</v>
      </c>
      <c r="J20" s="269">
        <f t="shared" si="4"/>
        <v>634798</v>
      </c>
      <c r="K20" s="269">
        <f t="shared" si="5"/>
        <v>0</v>
      </c>
      <c r="L20" s="275">
        <f t="shared" si="6"/>
        <v>2849457</v>
      </c>
      <c r="M20" s="269">
        <v>1167247</v>
      </c>
      <c r="N20" s="269">
        <f t="shared" si="7"/>
        <v>295738</v>
      </c>
      <c r="O20" s="269">
        <f t="shared" si="8"/>
        <v>0</v>
      </c>
      <c r="P20" s="275">
        <f t="shared" si="1"/>
        <v>1462985</v>
      </c>
      <c r="Q20" s="269">
        <v>877117</v>
      </c>
      <c r="R20" s="269">
        <f t="shared" si="9"/>
        <v>31728</v>
      </c>
      <c r="S20" s="269">
        <f t="shared" si="10"/>
        <v>0</v>
      </c>
      <c r="T20" s="275">
        <f t="shared" si="2"/>
        <v>908845</v>
      </c>
      <c r="U20" s="272">
        <v>830546</v>
      </c>
      <c r="V20" s="272">
        <v>34977</v>
      </c>
      <c r="W20" s="276">
        <f t="shared" si="12"/>
        <v>8330191</v>
      </c>
      <c r="X20" s="277">
        <f t="shared" si="13"/>
        <v>7464668</v>
      </c>
    </row>
    <row r="21" spans="1:24" ht="24" customHeight="1">
      <c r="A21" s="59"/>
      <c r="B21" s="98">
        <v>10</v>
      </c>
      <c r="C21" s="99">
        <f>+'2003 Base Factors'!F14</f>
        <v>8.4656595220878122E-2</v>
      </c>
      <c r="D21" s="89">
        <f>VLOOKUP(B21,'Pivot - Demographics'!$A$4:$F$16,6,0)</f>
        <v>9.1937123790301487E-2</v>
      </c>
      <c r="E21" s="269">
        <v>1906064</v>
      </c>
      <c r="F21" s="269">
        <f t="shared" si="3"/>
        <v>-52722</v>
      </c>
      <c r="G21" s="269">
        <f t="shared" si="11"/>
        <v>0</v>
      </c>
      <c r="H21" s="275">
        <f t="shared" si="0"/>
        <v>1853342</v>
      </c>
      <c r="I21" s="269">
        <v>1829614</v>
      </c>
      <c r="J21" s="269">
        <f t="shared" si="4"/>
        <v>562604</v>
      </c>
      <c r="K21" s="269">
        <f t="shared" si="5"/>
        <v>0</v>
      </c>
      <c r="L21" s="275">
        <f t="shared" si="6"/>
        <v>2392218</v>
      </c>
      <c r="M21" s="269">
        <v>964307</v>
      </c>
      <c r="N21" s="269">
        <f t="shared" si="7"/>
        <v>262104</v>
      </c>
      <c r="O21" s="269">
        <f t="shared" si="8"/>
        <v>0</v>
      </c>
      <c r="P21" s="275">
        <f t="shared" si="1"/>
        <v>1226411</v>
      </c>
      <c r="Q21" s="269">
        <v>724619</v>
      </c>
      <c r="R21" s="269">
        <f t="shared" si="9"/>
        <v>28120</v>
      </c>
      <c r="S21" s="269">
        <f t="shared" si="10"/>
        <v>0</v>
      </c>
      <c r="T21" s="275">
        <f t="shared" si="2"/>
        <v>752739</v>
      </c>
      <c r="U21" s="272">
        <v>660409</v>
      </c>
      <c r="V21" s="272">
        <v>27812</v>
      </c>
      <c r="W21" s="276">
        <f t="shared" si="12"/>
        <v>6912931</v>
      </c>
      <c r="X21" s="277">
        <f t="shared" si="13"/>
        <v>6224710</v>
      </c>
    </row>
    <row r="22" spans="1:24" ht="24" customHeight="1">
      <c r="A22" s="59"/>
      <c r="B22" s="98">
        <v>11</v>
      </c>
      <c r="C22" s="99">
        <f>+'2003 Base Factors'!F15</f>
        <v>0.19548146219557413</v>
      </c>
      <c r="D22" s="89">
        <f>VLOOKUP(B22,'Pivot - Demographics'!$A$4:$F$16,6,0)</f>
        <v>0.19791961068665434</v>
      </c>
      <c r="E22" s="269">
        <v>4401312</v>
      </c>
      <c r="F22" s="269">
        <f t="shared" si="3"/>
        <v>-121741</v>
      </c>
      <c r="G22" s="269">
        <f t="shared" si="11"/>
        <v>0</v>
      </c>
      <c r="H22" s="275">
        <f t="shared" si="0"/>
        <v>4279571</v>
      </c>
      <c r="I22" s="269">
        <f>4224784</f>
        <v>4224784</v>
      </c>
      <c r="J22" s="269">
        <f t="shared" si="4"/>
        <v>1211158</v>
      </c>
      <c r="K22" s="269">
        <f t="shared" si="5"/>
        <v>0</v>
      </c>
      <c r="L22" s="275">
        <f t="shared" si="6"/>
        <v>5435942</v>
      </c>
      <c r="M22" s="269">
        <f>2226692</f>
        <v>2226692</v>
      </c>
      <c r="N22" s="269">
        <f t="shared" si="7"/>
        <v>564251</v>
      </c>
      <c r="O22" s="269">
        <f t="shared" si="8"/>
        <v>0</v>
      </c>
      <c r="P22" s="275">
        <f t="shared" si="1"/>
        <v>2790943</v>
      </c>
      <c r="Q22" s="269">
        <f>1673226</f>
        <v>1673226</v>
      </c>
      <c r="R22" s="269">
        <f t="shared" si="9"/>
        <v>60535</v>
      </c>
      <c r="S22" s="269">
        <f t="shared" si="10"/>
        <v>0</v>
      </c>
      <c r="T22" s="275">
        <f t="shared" si="2"/>
        <v>1733761</v>
      </c>
      <c r="U22" s="272">
        <v>1294371</v>
      </c>
      <c r="V22" s="272">
        <v>54511</v>
      </c>
      <c r="W22" s="276">
        <f t="shared" si="12"/>
        <v>15589099</v>
      </c>
      <c r="X22" s="277">
        <f t="shared" si="13"/>
        <v>14240217</v>
      </c>
    </row>
    <row r="23" spans="1:24" s="72" customFormat="1" ht="27" customHeight="1" thickBot="1">
      <c r="A23" s="60"/>
      <c r="B23" s="60" t="s">
        <v>1</v>
      </c>
      <c r="C23" s="90">
        <f t="shared" ref="C23" si="14">SUM(C12:C22)</f>
        <v>0.99999999999999989</v>
      </c>
      <c r="D23" s="90">
        <f t="shared" ref="D23:X23" si="15">SUM(D12:D22)</f>
        <v>1</v>
      </c>
      <c r="E23" s="279">
        <f t="shared" si="15"/>
        <v>22515241</v>
      </c>
      <c r="F23" s="279">
        <f t="shared" si="15"/>
        <v>-622775</v>
      </c>
      <c r="G23" s="279">
        <f t="shared" si="15"/>
        <v>2</v>
      </c>
      <c r="H23" s="280">
        <f t="shared" si="15"/>
        <v>21892466</v>
      </c>
      <c r="I23" s="279">
        <f t="shared" si="15"/>
        <v>21612187</v>
      </c>
      <c r="J23" s="279">
        <f t="shared" si="15"/>
        <v>6119443</v>
      </c>
      <c r="K23" s="279">
        <f t="shared" ref="K23" si="16">SUM(K12:K22)</f>
        <v>0</v>
      </c>
      <c r="L23" s="280">
        <f t="shared" si="15"/>
        <v>27731630</v>
      </c>
      <c r="M23" s="279">
        <f t="shared" si="15"/>
        <v>11390813</v>
      </c>
      <c r="N23" s="279">
        <f t="shared" ref="N23:P23" si="17">SUM(N12:N22)</f>
        <v>2850910</v>
      </c>
      <c r="O23" s="279">
        <f t="shared" si="17"/>
        <v>-1</v>
      </c>
      <c r="P23" s="280">
        <f t="shared" si="17"/>
        <v>14241723</v>
      </c>
      <c r="Q23" s="279">
        <f t="shared" si="15"/>
        <v>8559516</v>
      </c>
      <c r="R23" s="279">
        <f t="shared" si="15"/>
        <v>305859</v>
      </c>
      <c r="S23" s="279">
        <f t="shared" si="15"/>
        <v>2</v>
      </c>
      <c r="T23" s="280">
        <f t="shared" si="15"/>
        <v>8865375</v>
      </c>
      <c r="U23" s="281">
        <f t="shared" si="15"/>
        <v>8239574</v>
      </c>
      <c r="V23" s="281">
        <f t="shared" si="15"/>
        <v>346998</v>
      </c>
      <c r="W23" s="282">
        <f t="shared" si="15"/>
        <v>81317766</v>
      </c>
      <c r="X23" s="283">
        <f t="shared" si="15"/>
        <v>72731194</v>
      </c>
    </row>
    <row r="24" spans="1:24">
      <c r="A24" s="48"/>
      <c r="B24" s="48"/>
      <c r="C24" s="48"/>
      <c r="D24" s="48"/>
      <c r="E24" s="57"/>
      <c r="F24" s="57"/>
      <c r="G24" s="57"/>
      <c r="H24" s="57"/>
      <c r="I24" s="48"/>
      <c r="J24" s="48"/>
      <c r="K24" s="57"/>
      <c r="L24" s="48"/>
      <c r="M24" s="48"/>
      <c r="N24" s="48"/>
      <c r="O24" s="57"/>
      <c r="P24" s="48"/>
      <c r="Q24" s="48"/>
      <c r="R24" s="48"/>
      <c r="S24" s="57"/>
      <c r="T24" s="48"/>
      <c r="U24" s="48"/>
      <c r="V24" s="48"/>
      <c r="W24" s="57"/>
      <c r="X24" s="48"/>
    </row>
    <row r="25" spans="1:24">
      <c r="A25" s="48"/>
      <c r="B25" s="48"/>
      <c r="C25" s="48"/>
      <c r="D25" s="48"/>
      <c r="E25" s="57"/>
      <c r="F25" s="57"/>
      <c r="G25" s="57"/>
      <c r="H25" s="57"/>
      <c r="I25" s="48"/>
      <c r="J25" s="48"/>
      <c r="K25" s="57"/>
      <c r="L25" s="48"/>
      <c r="M25" s="48"/>
      <c r="N25" s="48"/>
      <c r="O25" s="57"/>
      <c r="P25" s="48"/>
      <c r="Q25" s="48"/>
      <c r="R25" s="48"/>
      <c r="S25" s="57"/>
      <c r="T25" s="48"/>
      <c r="U25" s="48"/>
      <c r="V25" s="48"/>
      <c r="W25" s="57"/>
      <c r="X25" s="48"/>
    </row>
    <row r="26" spans="1:24">
      <c r="A26" s="48"/>
      <c r="B26" s="49" t="s">
        <v>135</v>
      </c>
      <c r="C26" s="48"/>
      <c r="D26" s="48"/>
      <c r="F26" s="305" t="s">
        <v>235</v>
      </c>
      <c r="G26" s="299" t="s">
        <v>234</v>
      </c>
      <c r="H26" s="57"/>
      <c r="J26" s="305" t="s">
        <v>235</v>
      </c>
      <c r="K26" s="299" t="s">
        <v>234</v>
      </c>
      <c r="L26" s="48"/>
      <c r="N26" s="305" t="s">
        <v>235</v>
      </c>
      <c r="O26" s="299" t="s">
        <v>234</v>
      </c>
      <c r="P26" s="48"/>
      <c r="R26" s="305" t="s">
        <v>235</v>
      </c>
      <c r="S26" s="299" t="s">
        <v>234</v>
      </c>
      <c r="T26" s="48"/>
      <c r="V26" s="48"/>
      <c r="W26" s="57"/>
      <c r="X26" s="48"/>
    </row>
    <row r="27" spans="1:24">
      <c r="A27" s="48"/>
      <c r="B27" s="61" t="s">
        <v>273</v>
      </c>
      <c r="C27" s="48"/>
      <c r="D27" s="48"/>
      <c r="F27" s="73">
        <f>ROUND(('2016 Award #2'!C24),0)</f>
        <v>21892466</v>
      </c>
      <c r="G27" s="300"/>
      <c r="H27" s="73"/>
      <c r="J27" s="73">
        <f>ROUND(('2016 Award #2'!D24),0)</f>
        <v>27731630</v>
      </c>
      <c r="K27" s="300"/>
      <c r="L27" s="73"/>
      <c r="N27" s="73">
        <f>ROUND(('2016 Award #2'!E24),0)</f>
        <v>14241723</v>
      </c>
      <c r="O27" s="300"/>
      <c r="P27" s="73"/>
      <c r="R27" s="73">
        <f>ROUND(('2016 Award #2'!G24),0)</f>
        <v>8865375</v>
      </c>
      <c r="S27" s="300"/>
      <c r="T27" s="57"/>
      <c r="U27" s="300"/>
      <c r="V27" s="48"/>
      <c r="W27" s="57"/>
      <c r="X27" s="57"/>
    </row>
    <row r="28" spans="1:24">
      <c r="A28" s="48"/>
      <c r="B28" s="62" t="s">
        <v>134</v>
      </c>
      <c r="C28" s="48"/>
      <c r="D28" s="48"/>
      <c r="F28" s="74">
        <f>+E23</f>
        <v>22515241</v>
      </c>
      <c r="G28" s="301"/>
      <c r="H28" s="73"/>
      <c r="J28" s="74">
        <f>+I23</f>
        <v>21612187</v>
      </c>
      <c r="K28" s="301"/>
      <c r="L28" s="73"/>
      <c r="N28" s="74">
        <f>+M23</f>
        <v>11390813</v>
      </c>
      <c r="O28" s="301"/>
      <c r="P28" s="73"/>
      <c r="R28" s="74">
        <f>+Q23</f>
        <v>8559516</v>
      </c>
      <c r="S28" s="301"/>
      <c r="T28" s="57"/>
      <c r="U28" s="300"/>
      <c r="V28" s="48"/>
      <c r="W28" s="57"/>
      <c r="X28" s="57"/>
    </row>
    <row r="29" spans="1:24">
      <c r="A29" s="48"/>
      <c r="B29" s="84" t="s">
        <v>7</v>
      </c>
      <c r="C29" s="49"/>
      <c r="D29" s="49"/>
      <c r="F29" s="85">
        <f>+F27-F28</f>
        <v>-622775</v>
      </c>
      <c r="G29" s="302">
        <f>+G27-G28</f>
        <v>0</v>
      </c>
      <c r="H29" s="85"/>
      <c r="J29" s="85">
        <f>+J27-J28</f>
        <v>6119443</v>
      </c>
      <c r="K29" s="302">
        <f>+K27-K28</f>
        <v>0</v>
      </c>
      <c r="L29" s="85"/>
      <c r="N29" s="85">
        <f>+N27-N28</f>
        <v>2850910</v>
      </c>
      <c r="O29" s="302">
        <f>+O27-O28</f>
        <v>0</v>
      </c>
      <c r="P29" s="85"/>
      <c r="R29" s="85">
        <f>+R27-R28</f>
        <v>305859</v>
      </c>
      <c r="S29" s="302">
        <f>+S27-S28</f>
        <v>0</v>
      </c>
      <c r="T29" s="57"/>
      <c r="U29" s="300"/>
      <c r="V29" s="57"/>
      <c r="W29" s="57"/>
      <c r="X29" s="57"/>
    </row>
    <row r="30" spans="1:24">
      <c r="B30" s="62" t="s">
        <v>136</v>
      </c>
      <c r="F30" s="76">
        <f>+F23</f>
        <v>-622775</v>
      </c>
      <c r="G30" s="303">
        <f>+G23</f>
        <v>2</v>
      </c>
      <c r="H30" s="75"/>
      <c r="J30" s="76">
        <f>+J23</f>
        <v>6119443</v>
      </c>
      <c r="K30" s="303">
        <f>+K23</f>
        <v>0</v>
      </c>
      <c r="L30" s="75"/>
      <c r="N30" s="76">
        <f>+N23</f>
        <v>2850910</v>
      </c>
      <c r="O30" s="303">
        <f>+O23</f>
        <v>-1</v>
      </c>
      <c r="P30" s="75"/>
      <c r="R30" s="76">
        <f>+R23</f>
        <v>305859</v>
      </c>
      <c r="S30" s="303">
        <f>+S23</f>
        <v>2</v>
      </c>
      <c r="U30" s="300"/>
    </row>
    <row r="31" spans="1:24">
      <c r="A31" s="72"/>
      <c r="B31" s="62" t="s">
        <v>29</v>
      </c>
      <c r="F31" s="75">
        <f>+F29-F30</f>
        <v>0</v>
      </c>
      <c r="G31" s="304">
        <f>+G29-G30</f>
        <v>-2</v>
      </c>
      <c r="H31" s="75"/>
      <c r="J31" s="75">
        <f>+J29-J30</f>
        <v>0</v>
      </c>
      <c r="K31" s="304">
        <f>+K29-K30</f>
        <v>0</v>
      </c>
      <c r="L31" s="75"/>
      <c r="N31" s="75">
        <f>+N29-N30</f>
        <v>0</v>
      </c>
      <c r="O31" s="304">
        <f>+O29-O30</f>
        <v>1</v>
      </c>
      <c r="P31" s="75"/>
      <c r="R31" s="75">
        <f>+R29-R30</f>
        <v>0</v>
      </c>
      <c r="S31" s="304">
        <f>+S29-S30</f>
        <v>-2</v>
      </c>
      <c r="U31" s="300"/>
      <c r="V31" s="48"/>
    </row>
    <row r="32" spans="1:24">
      <c r="V32" s="48"/>
    </row>
    <row r="33" spans="2:22">
      <c r="B33" s="71" t="s">
        <v>149</v>
      </c>
      <c r="V33" s="57"/>
    </row>
  </sheetData>
  <pageMargins left="0.45" right="0.45" top="0.75" bottom="0.75" header="0.3" footer="0.3"/>
  <pageSetup scale="44" fitToHeight="0" orientation="landscape" r:id="rId1"/>
  <headerFooter>
    <oddFooter>&amp;C&amp;11Page &amp;P of &amp;N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H38"/>
  <sheetViews>
    <sheetView workbookViewId="0">
      <selection activeCell="A8" sqref="A8"/>
    </sheetView>
  </sheetViews>
  <sheetFormatPr defaultRowHeight="15" outlineLevelCol="1"/>
  <cols>
    <col min="1" max="1" width="8.88671875" style="343"/>
    <col min="2" max="2" width="14.33203125" style="343" customWidth="1"/>
    <col min="3" max="3" width="10.88671875" style="343" bestFit="1" customWidth="1"/>
    <col min="4" max="5" width="10.33203125" style="343" bestFit="1" customWidth="1"/>
    <col min="6" max="8" width="10.33203125" style="343" customWidth="1"/>
    <col min="9" max="9" width="7.88671875" style="343" hidden="1" customWidth="1" outlineLevel="1"/>
    <col min="10" max="12" width="9.109375" style="343" hidden="1" customWidth="1" outlineLevel="1"/>
    <col min="13" max="14" width="10.33203125" style="343" hidden="1" customWidth="1" outlineLevel="1"/>
    <col min="15" max="15" width="4.88671875" style="343" hidden="1" customWidth="1" outlineLevel="1"/>
    <col min="16" max="16" width="7.88671875" style="343" hidden="1" customWidth="1" outlineLevel="1"/>
    <col min="17" max="19" width="9.109375" style="343" hidden="1" customWidth="1" outlineLevel="1"/>
    <col min="20" max="21" width="10.33203125" style="343" hidden="1" customWidth="1" outlineLevel="1"/>
    <col min="22" max="22" width="4.88671875" style="343" hidden="1" customWidth="1" outlineLevel="1"/>
    <col min="23" max="23" width="7.88671875" style="343" hidden="1" customWidth="1" outlineLevel="1"/>
    <col min="24" max="26" width="9.109375" style="343" hidden="1" customWidth="1" outlineLevel="1"/>
    <col min="27" max="28" width="10.33203125" style="343" hidden="1" customWidth="1" outlineLevel="1"/>
    <col min="29" max="29" width="4.88671875" style="343" hidden="1" customWidth="1" outlineLevel="1"/>
    <col min="30" max="30" width="7.88671875" style="343" hidden="1" customWidth="1" outlineLevel="1"/>
    <col min="31" max="33" width="9.109375" style="343" hidden="1" customWidth="1" outlineLevel="1"/>
    <col min="34" max="35" width="10.33203125" style="343" hidden="1" customWidth="1" outlineLevel="1"/>
    <col min="36" max="36" width="4.88671875" style="343" hidden="1" customWidth="1" outlineLevel="1"/>
    <col min="37" max="37" width="7.88671875" style="343" hidden="1" customWidth="1" outlineLevel="1"/>
    <col min="38" max="40" width="9.109375" style="343" hidden="1" customWidth="1" outlineLevel="1"/>
    <col min="41" max="42" width="10.33203125" style="343" hidden="1" customWidth="1" outlineLevel="1"/>
    <col min="43" max="43" width="4.88671875" style="343" hidden="1" customWidth="1" outlineLevel="1"/>
    <col min="44" max="44" width="7.6640625" style="343" hidden="1" customWidth="1" outlineLevel="1"/>
    <col min="45" max="47" width="9.109375" style="343" hidden="1" customWidth="1" outlineLevel="1"/>
    <col min="48" max="49" width="10.33203125" style="343" hidden="1" customWidth="1" outlineLevel="1"/>
    <col min="50" max="50" width="10.6640625" style="343" hidden="1" customWidth="1" outlineLevel="1"/>
    <col min="51" max="52" width="11.21875" style="343" hidden="1" customWidth="1" outlineLevel="1"/>
    <col min="53" max="53" width="9" style="343" hidden="1" customWidth="1" outlineLevel="1"/>
    <col min="54" max="54" width="11.21875" style="343" hidden="1" customWidth="1" outlineLevel="1" collapsed="1"/>
    <col min="55" max="56" width="11.21875" style="343" hidden="1" customWidth="1" outlineLevel="1"/>
    <col min="57" max="57" width="1.77734375" style="342" customWidth="1" collapsed="1"/>
    <col min="58" max="58" width="11.21875" style="343" hidden="1" customWidth="1"/>
    <col min="59" max="59" width="9" style="343" hidden="1" customWidth="1"/>
    <col min="60" max="60" width="10.33203125" style="343" hidden="1" customWidth="1"/>
    <col min="61" max="16384" width="8.88671875" style="343"/>
  </cols>
  <sheetData>
    <row r="1" spans="1:60" s="342" customFormat="1" ht="18.75">
      <c r="A1" s="101" t="s">
        <v>279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  <c r="W1" s="101"/>
      <c r="X1" s="101"/>
      <c r="Y1" s="101"/>
      <c r="Z1" s="101"/>
      <c r="AA1" s="101"/>
      <c r="AB1" s="101"/>
      <c r="AD1" s="101"/>
      <c r="AE1" s="101"/>
      <c r="AF1" s="101"/>
      <c r="AG1" s="101"/>
      <c r="AH1" s="101"/>
      <c r="AI1" s="101"/>
      <c r="AK1" s="101"/>
      <c r="AL1" s="101"/>
      <c r="AM1" s="101"/>
      <c r="AN1" s="101"/>
      <c r="AO1" s="101"/>
      <c r="AP1" s="101"/>
    </row>
    <row r="2" spans="1:60" s="342" customFormat="1">
      <c r="A2" s="102" t="s">
        <v>150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W2" s="102"/>
      <c r="X2" s="102"/>
      <c r="Y2" s="102"/>
      <c r="Z2" s="102"/>
      <c r="AA2" s="102"/>
      <c r="AB2" s="102"/>
      <c r="AD2" s="102"/>
      <c r="AE2" s="102"/>
      <c r="AF2" s="102"/>
      <c r="AG2" s="102"/>
      <c r="AH2" s="102"/>
      <c r="AI2" s="102"/>
      <c r="AK2" s="102"/>
      <c r="AL2" s="102"/>
      <c r="AM2" s="102"/>
      <c r="AN2" s="102"/>
      <c r="AO2" s="102"/>
      <c r="AP2" s="102"/>
    </row>
    <row r="3" spans="1:60" s="342" customFormat="1">
      <c r="A3" s="102" t="str">
        <f>+'Summary by AAA'!A3</f>
        <v>Balance Allocated Using 2016 Population Projections (2000 Census)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102"/>
      <c r="S3" s="102"/>
      <c r="T3" s="102"/>
      <c r="U3" s="102"/>
      <c r="W3" s="102"/>
      <c r="X3" s="102"/>
      <c r="Y3" s="102"/>
      <c r="Z3" s="102"/>
      <c r="AA3" s="102"/>
      <c r="AB3" s="102"/>
      <c r="AD3" s="102"/>
      <c r="AE3" s="102"/>
      <c r="AF3" s="102"/>
      <c r="AG3" s="102"/>
      <c r="AH3" s="102"/>
      <c r="AI3" s="102"/>
      <c r="AK3" s="102"/>
      <c r="AL3" s="102"/>
      <c r="AM3" s="102"/>
      <c r="AN3" s="102"/>
      <c r="AO3" s="102"/>
      <c r="AP3" s="102"/>
    </row>
    <row r="5" spans="1:60" ht="15.75" thickBot="1"/>
    <row r="6" spans="1:60" s="348" customFormat="1">
      <c r="A6" s="344"/>
      <c r="B6" s="345" t="s">
        <v>250</v>
      </c>
      <c r="C6" s="411" t="s">
        <v>271</v>
      </c>
      <c r="D6" s="412"/>
      <c r="E6" s="412"/>
      <c r="F6" s="411" t="s">
        <v>151</v>
      </c>
      <c r="G6" s="412"/>
      <c r="H6" s="413"/>
      <c r="I6" s="414" t="s">
        <v>152</v>
      </c>
      <c r="J6" s="408"/>
      <c r="K6" s="408"/>
      <c r="L6" s="408"/>
      <c r="M6" s="408"/>
      <c r="N6" s="409"/>
      <c r="O6" s="410"/>
      <c r="P6" s="407" t="s">
        <v>153</v>
      </c>
      <c r="Q6" s="408"/>
      <c r="R6" s="408"/>
      <c r="S6" s="408"/>
      <c r="T6" s="408"/>
      <c r="U6" s="409"/>
      <c r="V6" s="410"/>
      <c r="W6" s="407" t="s">
        <v>154</v>
      </c>
      <c r="X6" s="408"/>
      <c r="Y6" s="408"/>
      <c r="Z6" s="408"/>
      <c r="AA6" s="408"/>
      <c r="AB6" s="409"/>
      <c r="AC6" s="410"/>
      <c r="AD6" s="407" t="s">
        <v>155</v>
      </c>
      <c r="AE6" s="408"/>
      <c r="AF6" s="408"/>
      <c r="AG6" s="408"/>
      <c r="AH6" s="408"/>
      <c r="AI6" s="409"/>
      <c r="AJ6" s="410"/>
      <c r="AK6" s="407" t="s">
        <v>156</v>
      </c>
      <c r="AL6" s="408"/>
      <c r="AM6" s="408"/>
      <c r="AN6" s="408"/>
      <c r="AO6" s="408"/>
      <c r="AP6" s="409"/>
      <c r="AQ6" s="410"/>
      <c r="AR6" s="407" t="s">
        <v>157</v>
      </c>
      <c r="AS6" s="408"/>
      <c r="AT6" s="408"/>
      <c r="AU6" s="408"/>
      <c r="AV6" s="408"/>
      <c r="AW6" s="409"/>
      <c r="AX6" s="410"/>
      <c r="AY6" s="415" t="s">
        <v>158</v>
      </c>
      <c r="AZ6" s="416"/>
      <c r="BA6" s="416"/>
      <c r="BB6" s="411">
        <v>2012</v>
      </c>
      <c r="BC6" s="417"/>
      <c r="BD6" s="418"/>
      <c r="BE6" s="346"/>
      <c r="BF6" s="347"/>
    </row>
    <row r="7" spans="1:60" ht="55.5" customHeight="1">
      <c r="A7" s="349" t="s">
        <v>5</v>
      </c>
      <c r="B7" s="350" t="s">
        <v>159</v>
      </c>
      <c r="C7" s="351" t="s">
        <v>192</v>
      </c>
      <c r="D7" s="352" t="s">
        <v>160</v>
      </c>
      <c r="E7" s="353" t="s">
        <v>161</v>
      </c>
      <c r="F7" s="354" t="s">
        <v>162</v>
      </c>
      <c r="G7" s="355" t="s">
        <v>163</v>
      </c>
      <c r="H7" s="356" t="s">
        <v>164</v>
      </c>
      <c r="I7" s="357" t="s">
        <v>165</v>
      </c>
      <c r="J7" s="355" t="s">
        <v>166</v>
      </c>
      <c r="K7" s="355" t="s">
        <v>167</v>
      </c>
      <c r="L7" s="355" t="s">
        <v>168</v>
      </c>
      <c r="M7" s="355" t="s">
        <v>169</v>
      </c>
      <c r="N7" s="353" t="s">
        <v>170</v>
      </c>
      <c r="O7" s="358" t="s">
        <v>171</v>
      </c>
      <c r="P7" s="359" t="s">
        <v>165</v>
      </c>
      <c r="Q7" s="355" t="s">
        <v>166</v>
      </c>
      <c r="R7" s="355" t="s">
        <v>167</v>
      </c>
      <c r="S7" s="355" t="s">
        <v>168</v>
      </c>
      <c r="T7" s="355" t="s">
        <v>169</v>
      </c>
      <c r="U7" s="353" t="s">
        <v>170</v>
      </c>
      <c r="V7" s="358" t="s">
        <v>171</v>
      </c>
      <c r="W7" s="359" t="s">
        <v>165</v>
      </c>
      <c r="X7" s="355" t="s">
        <v>166</v>
      </c>
      <c r="Y7" s="355" t="s">
        <v>167</v>
      </c>
      <c r="Z7" s="355" t="s">
        <v>168</v>
      </c>
      <c r="AA7" s="355" t="s">
        <v>169</v>
      </c>
      <c r="AB7" s="353" t="s">
        <v>170</v>
      </c>
      <c r="AC7" s="358" t="s">
        <v>171</v>
      </c>
      <c r="AD7" s="359" t="s">
        <v>165</v>
      </c>
      <c r="AE7" s="355" t="s">
        <v>166</v>
      </c>
      <c r="AF7" s="355" t="s">
        <v>167</v>
      </c>
      <c r="AG7" s="355" t="s">
        <v>168</v>
      </c>
      <c r="AH7" s="355" t="s">
        <v>169</v>
      </c>
      <c r="AI7" s="353" t="s">
        <v>170</v>
      </c>
      <c r="AJ7" s="358" t="s">
        <v>171</v>
      </c>
      <c r="AK7" s="359" t="s">
        <v>165</v>
      </c>
      <c r="AL7" s="355" t="s">
        <v>166</v>
      </c>
      <c r="AM7" s="355" t="s">
        <v>167</v>
      </c>
      <c r="AN7" s="355" t="s">
        <v>168</v>
      </c>
      <c r="AO7" s="355" t="s">
        <v>169</v>
      </c>
      <c r="AP7" s="353" t="s">
        <v>170</v>
      </c>
      <c r="AQ7" s="358" t="s">
        <v>171</v>
      </c>
      <c r="AR7" s="359" t="s">
        <v>165</v>
      </c>
      <c r="AS7" s="355" t="s">
        <v>166</v>
      </c>
      <c r="AT7" s="355" t="s">
        <v>167</v>
      </c>
      <c r="AU7" s="355" t="s">
        <v>168</v>
      </c>
      <c r="AV7" s="355" t="s">
        <v>169</v>
      </c>
      <c r="AW7" s="353" t="s">
        <v>170</v>
      </c>
      <c r="AX7" s="353" t="s">
        <v>172</v>
      </c>
      <c r="AY7" s="359" t="s">
        <v>169</v>
      </c>
      <c r="AZ7" s="360" t="s">
        <v>164</v>
      </c>
      <c r="BA7" s="353" t="s">
        <v>173</v>
      </c>
      <c r="BB7" s="354" t="s">
        <v>243</v>
      </c>
      <c r="BC7" s="355" t="s">
        <v>244</v>
      </c>
      <c r="BD7" s="356" t="s">
        <v>1</v>
      </c>
      <c r="BE7" s="360"/>
      <c r="BF7" s="360" t="s">
        <v>29</v>
      </c>
      <c r="BG7" s="419" t="s">
        <v>179</v>
      </c>
      <c r="BH7" s="419"/>
    </row>
    <row r="8" spans="1:60" ht="18.75" customHeight="1">
      <c r="A8" s="349">
        <v>1</v>
      </c>
      <c r="B8" s="103">
        <v>84225</v>
      </c>
      <c r="C8" s="361">
        <f>VLOOKUP(A8,'Pivot - IIID'!$A$4:$C$15,2,0)</f>
        <v>28765.346999999998</v>
      </c>
      <c r="D8" s="362">
        <f>VLOOKUP(A8,'Pivot - IIID'!$A$4:$C$15,3,0)</f>
        <v>12739</v>
      </c>
      <c r="E8" s="104">
        <f>ROUND((0.5*(C8/C$19) + 0.5*(D8/D$19))*$C$23,0)</f>
        <v>41111</v>
      </c>
      <c r="F8" s="105">
        <f t="shared" ref="F8:F18" si="0">IF(B8&gt;E8,B8,E8)</f>
        <v>84225</v>
      </c>
      <c r="G8" s="311">
        <f>ROUND((+B8-(F8/$F$19)*($B$19-$C$23)),0)+1</f>
        <v>84180</v>
      </c>
      <c r="H8" s="106">
        <f>+G8-B8</f>
        <v>-45</v>
      </c>
      <c r="I8" s="363">
        <f>IF(E8&lt;B8,1,0)</f>
        <v>1</v>
      </c>
      <c r="J8" s="364">
        <f t="shared" ref="J8:J18" si="1">E8*(1-I8)</f>
        <v>0</v>
      </c>
      <c r="K8" s="364">
        <f>IF(E8&lt;B8,$B8,0)</f>
        <v>84225</v>
      </c>
      <c r="L8" s="364">
        <f t="shared" ref="L8:L18" si="2">ROUND(IF(K8=0,-E8+((J8/J$19)*($C$24-K$19)),0),0)</f>
        <v>0</v>
      </c>
      <c r="M8" s="364">
        <f>SUM(J8:L8)</f>
        <v>84225</v>
      </c>
      <c r="N8" s="365">
        <f>+M8-$B8</f>
        <v>0</v>
      </c>
      <c r="O8" s="366">
        <f>IF(M8&lt;$B8,1,0)</f>
        <v>0</v>
      </c>
      <c r="P8" s="367">
        <f>O8+I8</f>
        <v>1</v>
      </c>
      <c r="Q8" s="364">
        <f>M8*(1-P8)</f>
        <v>0</v>
      </c>
      <c r="R8" s="364">
        <f>IF(P8=1,$B8,0)</f>
        <v>84225</v>
      </c>
      <c r="S8" s="364">
        <f t="shared" ref="S8:S18" si="3">ROUND(IF(R8=0,-M8+((Q8/Q$19)*($C$24-R$19)),0),0)</f>
        <v>0</v>
      </c>
      <c r="T8" s="364">
        <f>SUM(Q8:S8)</f>
        <v>84225</v>
      </c>
      <c r="U8" s="365">
        <f>+T8-$B8</f>
        <v>0</v>
      </c>
      <c r="V8" s="366">
        <f>IF(T8&lt;$B8,1,0)</f>
        <v>0</v>
      </c>
      <c r="W8" s="367">
        <f>V8+P8</f>
        <v>1</v>
      </c>
      <c r="X8" s="364">
        <f>T8*(1-W8)</f>
        <v>0</v>
      </c>
      <c r="Y8" s="364">
        <f>IF(W8=1,$B8,0)</f>
        <v>84225</v>
      </c>
      <c r="Z8" s="364">
        <f t="shared" ref="Z8:Z18" si="4">ROUND(IF(Y8=0,-T8+((X8/X$19)*($C$24-Y$19)),0),0)</f>
        <v>0</v>
      </c>
      <c r="AA8" s="364">
        <f>SUM(X8:Z8)</f>
        <v>84225</v>
      </c>
      <c r="AB8" s="365">
        <f>+AA8-$B8</f>
        <v>0</v>
      </c>
      <c r="AC8" s="366">
        <f>IF(AA8&lt;$B8,1,0)</f>
        <v>0</v>
      </c>
      <c r="AD8" s="367">
        <f>AC8+W8</f>
        <v>1</v>
      </c>
      <c r="AE8" s="364">
        <f>AA8*(1-AD8)</f>
        <v>0</v>
      </c>
      <c r="AF8" s="364">
        <f>IF(AD8=1,$B8,0)</f>
        <v>84225</v>
      </c>
      <c r="AG8" s="364">
        <f t="shared" ref="AG8:AG18" si="5">ROUND(IF(AF8=0,-AA8+((AE8/AE$19)*($C$24-AF$19)),0),0)</f>
        <v>0</v>
      </c>
      <c r="AH8" s="364">
        <f>SUM(AE8:AG8)</f>
        <v>84225</v>
      </c>
      <c r="AI8" s="365">
        <f>+AH8-$B8</f>
        <v>0</v>
      </c>
      <c r="AJ8" s="366">
        <f>IF(AH8&lt;$B8,1,0)</f>
        <v>0</v>
      </c>
      <c r="AK8" s="367">
        <f>AJ8+AD8</f>
        <v>1</v>
      </c>
      <c r="AL8" s="364">
        <f>AH8*(1-AK8)</f>
        <v>0</v>
      </c>
      <c r="AM8" s="364">
        <f>IF(AK8=1,$B8,0)</f>
        <v>84225</v>
      </c>
      <c r="AN8" s="364">
        <f t="shared" ref="AN8:AN18" si="6">ROUND(IF(AM8=0,-AH8+((AL8/AL$19)*($C$24-AM$19)),0),0)</f>
        <v>0</v>
      </c>
      <c r="AO8" s="364">
        <f>SUM(AL8:AN8)</f>
        <v>84225</v>
      </c>
      <c r="AP8" s="365">
        <f>+AO8-$B8</f>
        <v>0</v>
      </c>
      <c r="AQ8" s="366">
        <f>IF(AO8&lt;$B8,1,0)</f>
        <v>0</v>
      </c>
      <c r="AR8" s="367">
        <f>AQ8+AK8</f>
        <v>1</v>
      </c>
      <c r="AS8" s="364">
        <f>AO8*(1-AR8)</f>
        <v>0</v>
      </c>
      <c r="AT8" s="364">
        <f>IF(AR8=1,$B8,0)</f>
        <v>84225</v>
      </c>
      <c r="AU8" s="364">
        <f t="shared" ref="AU8:AU18" si="7">ROUND(IF(AT8=0,-AO8+((AS8/AS$19)*($C$24-AT$19)),0),0)</f>
        <v>0</v>
      </c>
      <c r="AV8" s="364">
        <f>SUM(AS8:AU8)</f>
        <v>84225</v>
      </c>
      <c r="AW8" s="365">
        <f>+AV8-$B8</f>
        <v>0</v>
      </c>
      <c r="AX8" s="365">
        <f>+AV8-AO8</f>
        <v>0</v>
      </c>
      <c r="AY8" s="368">
        <f>IF(AX8=0,(ROUND(B8-(ROUND((AV8/AV$19)*(B$19-$C$24),0)),0)),"NO")-1</f>
        <v>84224</v>
      </c>
      <c r="AZ8" s="369">
        <f>AY8-B8</f>
        <v>-1</v>
      </c>
      <c r="BA8" s="365">
        <f>+H8-AZ8</f>
        <v>-44</v>
      </c>
      <c r="BB8" s="312" t="e">
        <f>+G8*#REF!</f>
        <v>#REF!</v>
      </c>
      <c r="BC8" s="364" t="e">
        <f>+G8*#REF!</f>
        <v>#REF!</v>
      </c>
      <c r="BD8" s="370" t="e">
        <f>+BB8+BC8</f>
        <v>#REF!</v>
      </c>
      <c r="BE8" s="371"/>
      <c r="BF8" s="107" t="e">
        <f>+G8-BD8</f>
        <v>#REF!</v>
      </c>
      <c r="BG8" s="107">
        <v>18903</v>
      </c>
      <c r="BH8" s="107">
        <v>72139</v>
      </c>
    </row>
    <row r="9" spans="1:60" ht="18.75" customHeight="1">
      <c r="A9" s="349">
        <v>2</v>
      </c>
      <c r="B9" s="103">
        <v>73605</v>
      </c>
      <c r="C9" s="361">
        <f>VLOOKUP(A9,'Pivot - IIID'!$A$4:$C$15,2,0)</f>
        <v>53977.248</v>
      </c>
      <c r="D9" s="362">
        <f>VLOOKUP(A9,'Pivot - IIID'!$A$4:$C$15,3,0)</f>
        <v>15147</v>
      </c>
      <c r="E9" s="104">
        <f t="shared" ref="E9:E18" si="8">ROUND((0.5*(C9/C$19) + 0.5*(D9/D$19))*$C$23,0)</f>
        <v>64926</v>
      </c>
      <c r="F9" s="105">
        <f t="shared" si="0"/>
        <v>73605</v>
      </c>
      <c r="G9" s="311">
        <f t="shared" ref="G9:G18" si="9">ROUND((+B9-(F9/$F$19)*($B$19-$C$23)),0)</f>
        <v>73565</v>
      </c>
      <c r="H9" s="106">
        <f t="shared" ref="H9:H18" si="10">+G9-B9</f>
        <v>-40</v>
      </c>
      <c r="I9" s="363">
        <f t="shared" ref="I9:I18" si="11">IF(E9&lt;B9,1,0)</f>
        <v>1</v>
      </c>
      <c r="J9" s="364">
        <f t="shared" si="1"/>
        <v>0</v>
      </c>
      <c r="K9" s="364">
        <f t="shared" ref="K9:K18" si="12">IF(E9&lt;B9,$B9,0)</f>
        <v>73605</v>
      </c>
      <c r="L9" s="364">
        <f t="shared" si="2"/>
        <v>0</v>
      </c>
      <c r="M9" s="364">
        <f t="shared" ref="M9:M18" si="13">SUM(J9:L9)</f>
        <v>73605</v>
      </c>
      <c r="N9" s="365">
        <f t="shared" ref="N9:N18" si="14">+M9-$B9</f>
        <v>0</v>
      </c>
      <c r="O9" s="366">
        <f t="shared" ref="O9:O18" si="15">IF(M9&lt;$B9,1,0)</f>
        <v>0</v>
      </c>
      <c r="P9" s="367">
        <f t="shared" ref="P9:P18" si="16">O9+I9</f>
        <v>1</v>
      </c>
      <c r="Q9" s="364">
        <f t="shared" ref="Q9:Q18" si="17">M9*(1-P9)</f>
        <v>0</v>
      </c>
      <c r="R9" s="364">
        <f t="shared" ref="R9:R18" si="18">IF(P9=1,$B9,0)</f>
        <v>73605</v>
      </c>
      <c r="S9" s="364">
        <f t="shared" si="3"/>
        <v>0</v>
      </c>
      <c r="T9" s="364">
        <f t="shared" ref="T9:T18" si="19">SUM(Q9:S9)</f>
        <v>73605</v>
      </c>
      <c r="U9" s="365">
        <f t="shared" ref="U9:U18" si="20">+T9-$B9</f>
        <v>0</v>
      </c>
      <c r="V9" s="366">
        <f t="shared" ref="V9:V18" si="21">IF(T9&lt;$B9,1,0)</f>
        <v>0</v>
      </c>
      <c r="W9" s="367">
        <f t="shared" ref="W9:W18" si="22">V9+P9</f>
        <v>1</v>
      </c>
      <c r="X9" s="364">
        <f t="shared" ref="X9:X18" si="23">T9*(1-W9)</f>
        <v>0</v>
      </c>
      <c r="Y9" s="364">
        <f t="shared" ref="Y9:Y18" si="24">IF(W9=1,$B9,0)</f>
        <v>73605</v>
      </c>
      <c r="Z9" s="364">
        <f t="shared" si="4"/>
        <v>0</v>
      </c>
      <c r="AA9" s="364">
        <f t="shared" ref="AA9:AA18" si="25">SUM(X9:Z9)</f>
        <v>73605</v>
      </c>
      <c r="AB9" s="365">
        <f t="shared" ref="AB9:AB18" si="26">+AA9-$B9</f>
        <v>0</v>
      </c>
      <c r="AC9" s="366">
        <f t="shared" ref="AC9:AC18" si="27">IF(AA9&lt;$B9,1,0)</f>
        <v>0</v>
      </c>
      <c r="AD9" s="367">
        <f t="shared" ref="AD9:AD18" si="28">AC9+W9</f>
        <v>1</v>
      </c>
      <c r="AE9" s="364">
        <f t="shared" ref="AE9:AE18" si="29">AA9*(1-AD9)</f>
        <v>0</v>
      </c>
      <c r="AF9" s="364">
        <f t="shared" ref="AF9:AF18" si="30">IF(AD9=1,$B9,0)</f>
        <v>73605</v>
      </c>
      <c r="AG9" s="364">
        <f t="shared" si="5"/>
        <v>0</v>
      </c>
      <c r="AH9" s="364">
        <f t="shared" ref="AH9:AH18" si="31">SUM(AE9:AG9)</f>
        <v>73605</v>
      </c>
      <c r="AI9" s="365">
        <f t="shared" ref="AI9:AI18" si="32">+AH9-$B9</f>
        <v>0</v>
      </c>
      <c r="AJ9" s="366">
        <f t="shared" ref="AJ9:AJ18" si="33">IF(AH9&lt;$B9,1,0)</f>
        <v>0</v>
      </c>
      <c r="AK9" s="367">
        <f t="shared" ref="AK9:AK18" si="34">AJ9+AD9</f>
        <v>1</v>
      </c>
      <c r="AL9" s="364">
        <f t="shared" ref="AL9:AL18" si="35">AH9*(1-AK9)</f>
        <v>0</v>
      </c>
      <c r="AM9" s="364">
        <f t="shared" ref="AM9:AM18" si="36">IF(AK9=1,$B9,0)</f>
        <v>73605</v>
      </c>
      <c r="AN9" s="364">
        <f t="shared" si="6"/>
        <v>0</v>
      </c>
      <c r="AO9" s="364">
        <f t="shared" ref="AO9:AO18" si="37">SUM(AL9:AN9)</f>
        <v>73605</v>
      </c>
      <c r="AP9" s="365">
        <f t="shared" ref="AP9:AP18" si="38">+AO9-$B9</f>
        <v>0</v>
      </c>
      <c r="AQ9" s="366">
        <f t="shared" ref="AQ9:AQ18" si="39">IF(AO9&lt;$B9,1,0)</f>
        <v>0</v>
      </c>
      <c r="AR9" s="367">
        <f t="shared" ref="AR9:AR18" si="40">AQ9+AK9</f>
        <v>1</v>
      </c>
      <c r="AS9" s="364">
        <f t="shared" ref="AS9:AS18" si="41">AO9*(1-AR9)</f>
        <v>0</v>
      </c>
      <c r="AT9" s="364">
        <f t="shared" ref="AT9:AT18" si="42">IF(AR9=1,$B9,0)</f>
        <v>73605</v>
      </c>
      <c r="AU9" s="364">
        <f t="shared" si="7"/>
        <v>0</v>
      </c>
      <c r="AV9" s="364">
        <f t="shared" ref="AV9:AV18" si="43">SUM(AS9:AU9)</f>
        <v>73605</v>
      </c>
      <c r="AW9" s="365">
        <f t="shared" ref="AW9:AW18" si="44">+AV9-$B9</f>
        <v>0</v>
      </c>
      <c r="AX9" s="365">
        <f t="shared" ref="AX9:AX18" si="45">+AV9-AO9</f>
        <v>0</v>
      </c>
      <c r="AY9" s="368">
        <f t="shared" ref="AY9:AY18" si="46">IF(AX9=0,(ROUND(B9-(ROUND((AV9/AV$19)*(B$19-$C$24),0)),0)),"NO")</f>
        <v>73605</v>
      </c>
      <c r="AZ9" s="369">
        <f t="shared" ref="AZ9:AZ18" si="47">AY9-B9</f>
        <v>0</v>
      </c>
      <c r="BA9" s="365">
        <f t="shared" ref="BA9:BA18" si="48">+H9-AZ9</f>
        <v>-40</v>
      </c>
      <c r="BB9" s="312" t="e">
        <f>+G9*#REF!</f>
        <v>#REF!</v>
      </c>
      <c r="BC9" s="364" t="e">
        <f>+G9*#REF!</f>
        <v>#REF!</v>
      </c>
      <c r="BD9" s="370" t="e">
        <f t="shared" ref="BD9:BD18" si="49">+BB9+BC9</f>
        <v>#REF!</v>
      </c>
      <c r="BE9" s="371"/>
      <c r="BF9" s="107" t="e">
        <f t="shared" ref="BF9:BF19" si="50">+G9-BD9</f>
        <v>#REF!</v>
      </c>
      <c r="BG9" s="107">
        <v>16520</v>
      </c>
      <c r="BH9" s="107">
        <v>63043</v>
      </c>
    </row>
    <row r="10" spans="1:60" ht="18.75" customHeight="1">
      <c r="A10" s="349">
        <v>3</v>
      </c>
      <c r="B10" s="103">
        <v>231976</v>
      </c>
      <c r="C10" s="361">
        <f>VLOOKUP(A10,'Pivot - IIID'!$A$4:$C$15,2,0)</f>
        <v>152811.62299999999</v>
      </c>
      <c r="D10" s="362">
        <f>VLOOKUP(A10,'Pivot - IIID'!$A$4:$C$15,3,0)</f>
        <v>47208</v>
      </c>
      <c r="E10" s="104">
        <f t="shared" si="8"/>
        <v>189844</v>
      </c>
      <c r="F10" s="105">
        <f t="shared" si="0"/>
        <v>231976</v>
      </c>
      <c r="G10" s="311">
        <f t="shared" si="9"/>
        <v>231850</v>
      </c>
      <c r="H10" s="106">
        <f t="shared" si="10"/>
        <v>-126</v>
      </c>
      <c r="I10" s="363">
        <f t="shared" si="11"/>
        <v>1</v>
      </c>
      <c r="J10" s="364">
        <f t="shared" si="1"/>
        <v>0</v>
      </c>
      <c r="K10" s="364">
        <f t="shared" si="12"/>
        <v>231976</v>
      </c>
      <c r="L10" s="364">
        <f t="shared" si="2"/>
        <v>0</v>
      </c>
      <c r="M10" s="364">
        <f t="shared" si="13"/>
        <v>231976</v>
      </c>
      <c r="N10" s="365">
        <f t="shared" si="14"/>
        <v>0</v>
      </c>
      <c r="O10" s="366">
        <f t="shared" si="15"/>
        <v>0</v>
      </c>
      <c r="P10" s="367">
        <f t="shared" si="16"/>
        <v>1</v>
      </c>
      <c r="Q10" s="364">
        <f t="shared" si="17"/>
        <v>0</v>
      </c>
      <c r="R10" s="364">
        <f t="shared" si="18"/>
        <v>231976</v>
      </c>
      <c r="S10" s="364">
        <f t="shared" si="3"/>
        <v>0</v>
      </c>
      <c r="T10" s="364">
        <f t="shared" si="19"/>
        <v>231976</v>
      </c>
      <c r="U10" s="365">
        <f t="shared" si="20"/>
        <v>0</v>
      </c>
      <c r="V10" s="366">
        <f t="shared" si="21"/>
        <v>0</v>
      </c>
      <c r="W10" s="367">
        <f t="shared" si="22"/>
        <v>1</v>
      </c>
      <c r="X10" s="364">
        <f t="shared" si="23"/>
        <v>0</v>
      </c>
      <c r="Y10" s="364">
        <f t="shared" si="24"/>
        <v>231976</v>
      </c>
      <c r="Z10" s="364">
        <f t="shared" si="4"/>
        <v>0</v>
      </c>
      <c r="AA10" s="364">
        <f t="shared" si="25"/>
        <v>231976</v>
      </c>
      <c r="AB10" s="365">
        <f t="shared" si="26"/>
        <v>0</v>
      </c>
      <c r="AC10" s="366">
        <f t="shared" si="27"/>
        <v>0</v>
      </c>
      <c r="AD10" s="367">
        <f t="shared" si="28"/>
        <v>1</v>
      </c>
      <c r="AE10" s="364">
        <f t="shared" si="29"/>
        <v>0</v>
      </c>
      <c r="AF10" s="364">
        <f t="shared" si="30"/>
        <v>231976</v>
      </c>
      <c r="AG10" s="364">
        <f t="shared" si="5"/>
        <v>0</v>
      </c>
      <c r="AH10" s="364">
        <f t="shared" si="31"/>
        <v>231976</v>
      </c>
      <c r="AI10" s="365">
        <f t="shared" si="32"/>
        <v>0</v>
      </c>
      <c r="AJ10" s="366">
        <f t="shared" si="33"/>
        <v>0</v>
      </c>
      <c r="AK10" s="367">
        <f t="shared" si="34"/>
        <v>1</v>
      </c>
      <c r="AL10" s="364">
        <f t="shared" si="35"/>
        <v>0</v>
      </c>
      <c r="AM10" s="364">
        <f t="shared" si="36"/>
        <v>231976</v>
      </c>
      <c r="AN10" s="364">
        <f t="shared" si="6"/>
        <v>0</v>
      </c>
      <c r="AO10" s="364">
        <f t="shared" si="37"/>
        <v>231976</v>
      </c>
      <c r="AP10" s="365">
        <f t="shared" si="38"/>
        <v>0</v>
      </c>
      <c r="AQ10" s="366">
        <f t="shared" si="39"/>
        <v>0</v>
      </c>
      <c r="AR10" s="367">
        <f t="shared" si="40"/>
        <v>1</v>
      </c>
      <c r="AS10" s="364">
        <f t="shared" si="41"/>
        <v>0</v>
      </c>
      <c r="AT10" s="364">
        <f t="shared" si="42"/>
        <v>231976</v>
      </c>
      <c r="AU10" s="364">
        <f t="shared" si="7"/>
        <v>0</v>
      </c>
      <c r="AV10" s="364">
        <f t="shared" si="43"/>
        <v>231976</v>
      </c>
      <c r="AW10" s="365">
        <f t="shared" si="44"/>
        <v>0</v>
      </c>
      <c r="AX10" s="365">
        <f t="shared" si="45"/>
        <v>0</v>
      </c>
      <c r="AY10" s="368">
        <f t="shared" si="46"/>
        <v>231976</v>
      </c>
      <c r="AZ10" s="369">
        <f t="shared" si="47"/>
        <v>0</v>
      </c>
      <c r="BA10" s="365">
        <f t="shared" si="48"/>
        <v>-126</v>
      </c>
      <c r="BB10" s="312" t="e">
        <f>+G10*#REF!</f>
        <v>#REF!</v>
      </c>
      <c r="BC10" s="364" t="e">
        <f>+G10*#REF!</f>
        <v>#REF!</v>
      </c>
      <c r="BD10" s="370" t="e">
        <f t="shared" si="49"/>
        <v>#REF!</v>
      </c>
      <c r="BE10" s="371"/>
      <c r="BF10" s="107" t="e">
        <f t="shared" si="50"/>
        <v>#REF!</v>
      </c>
      <c r="BG10" s="107">
        <v>52063</v>
      </c>
      <c r="BH10" s="107">
        <v>198688</v>
      </c>
    </row>
    <row r="11" spans="1:60" ht="18.75" customHeight="1">
      <c r="A11" s="349">
        <v>4</v>
      </c>
      <c r="B11" s="103">
        <v>113647</v>
      </c>
      <c r="C11" s="361">
        <f>VLOOKUP(A11,'Pivot - IIID'!$A$4:$C$15,2,0)</f>
        <v>75928.252999999997</v>
      </c>
      <c r="D11" s="362">
        <f>VLOOKUP(A11,'Pivot - IIID'!$A$4:$C$15,3,0)</f>
        <v>41763</v>
      </c>
      <c r="E11" s="104">
        <f t="shared" si="8"/>
        <v>119869</v>
      </c>
      <c r="F11" s="105">
        <f t="shared" si="0"/>
        <v>119869</v>
      </c>
      <c r="G11" s="311">
        <f t="shared" si="9"/>
        <v>113582</v>
      </c>
      <c r="H11" s="106">
        <f t="shared" si="10"/>
        <v>-65</v>
      </c>
      <c r="I11" s="363">
        <f t="shared" si="11"/>
        <v>0</v>
      </c>
      <c r="J11" s="364">
        <f t="shared" si="1"/>
        <v>119869</v>
      </c>
      <c r="K11" s="364">
        <f t="shared" si="12"/>
        <v>0</v>
      </c>
      <c r="L11" s="364">
        <f t="shared" si="2"/>
        <v>-25642</v>
      </c>
      <c r="M11" s="364">
        <f t="shared" si="13"/>
        <v>94227</v>
      </c>
      <c r="N11" s="365">
        <f t="shared" si="14"/>
        <v>-19420</v>
      </c>
      <c r="O11" s="366">
        <f t="shared" si="15"/>
        <v>1</v>
      </c>
      <c r="P11" s="367">
        <f t="shared" si="16"/>
        <v>1</v>
      </c>
      <c r="Q11" s="364">
        <f t="shared" si="17"/>
        <v>0</v>
      </c>
      <c r="R11" s="364">
        <f t="shared" si="18"/>
        <v>113647</v>
      </c>
      <c r="S11" s="364">
        <f t="shared" si="3"/>
        <v>0</v>
      </c>
      <c r="T11" s="364">
        <f t="shared" si="19"/>
        <v>113647</v>
      </c>
      <c r="U11" s="365">
        <f t="shared" si="20"/>
        <v>0</v>
      </c>
      <c r="V11" s="366">
        <f t="shared" si="21"/>
        <v>0</v>
      </c>
      <c r="W11" s="367">
        <f t="shared" si="22"/>
        <v>1</v>
      </c>
      <c r="X11" s="364">
        <f t="shared" si="23"/>
        <v>0</v>
      </c>
      <c r="Y11" s="364">
        <f t="shared" si="24"/>
        <v>113647</v>
      </c>
      <c r="Z11" s="364">
        <f t="shared" si="4"/>
        <v>0</v>
      </c>
      <c r="AA11" s="364">
        <f t="shared" si="25"/>
        <v>113647</v>
      </c>
      <c r="AB11" s="365">
        <f t="shared" si="26"/>
        <v>0</v>
      </c>
      <c r="AC11" s="366">
        <f t="shared" si="27"/>
        <v>0</v>
      </c>
      <c r="AD11" s="367">
        <f t="shared" si="28"/>
        <v>1</v>
      </c>
      <c r="AE11" s="364">
        <f t="shared" si="29"/>
        <v>0</v>
      </c>
      <c r="AF11" s="364">
        <f t="shared" si="30"/>
        <v>113647</v>
      </c>
      <c r="AG11" s="364">
        <f t="shared" si="5"/>
        <v>0</v>
      </c>
      <c r="AH11" s="364">
        <f t="shared" si="31"/>
        <v>113647</v>
      </c>
      <c r="AI11" s="365">
        <f t="shared" si="32"/>
        <v>0</v>
      </c>
      <c r="AJ11" s="366">
        <f t="shared" si="33"/>
        <v>0</v>
      </c>
      <c r="AK11" s="367">
        <f t="shared" si="34"/>
        <v>1</v>
      </c>
      <c r="AL11" s="364">
        <f t="shared" si="35"/>
        <v>0</v>
      </c>
      <c r="AM11" s="364">
        <f t="shared" si="36"/>
        <v>113647</v>
      </c>
      <c r="AN11" s="364">
        <f t="shared" si="6"/>
        <v>0</v>
      </c>
      <c r="AO11" s="364">
        <f t="shared" si="37"/>
        <v>113647</v>
      </c>
      <c r="AP11" s="365">
        <f t="shared" si="38"/>
        <v>0</v>
      </c>
      <c r="AQ11" s="366">
        <f t="shared" si="39"/>
        <v>0</v>
      </c>
      <c r="AR11" s="367">
        <f t="shared" si="40"/>
        <v>1</v>
      </c>
      <c r="AS11" s="364">
        <f t="shared" si="41"/>
        <v>0</v>
      </c>
      <c r="AT11" s="364">
        <f t="shared" si="42"/>
        <v>113647</v>
      </c>
      <c r="AU11" s="364">
        <f t="shared" si="7"/>
        <v>0</v>
      </c>
      <c r="AV11" s="364">
        <f t="shared" si="43"/>
        <v>113647</v>
      </c>
      <c r="AW11" s="365">
        <f t="shared" si="44"/>
        <v>0</v>
      </c>
      <c r="AX11" s="365">
        <f t="shared" si="45"/>
        <v>0</v>
      </c>
      <c r="AY11" s="368">
        <f t="shared" si="46"/>
        <v>113647</v>
      </c>
      <c r="AZ11" s="369">
        <f t="shared" si="47"/>
        <v>0</v>
      </c>
      <c r="BA11" s="365">
        <f t="shared" si="48"/>
        <v>-65</v>
      </c>
      <c r="BB11" s="312" t="e">
        <f>+G11*#REF!</f>
        <v>#REF!</v>
      </c>
      <c r="BC11" s="364" t="e">
        <f>+G11*#REF!</f>
        <v>#REF!</v>
      </c>
      <c r="BD11" s="370" t="e">
        <f t="shared" si="49"/>
        <v>#REF!</v>
      </c>
      <c r="BE11" s="371"/>
      <c r="BF11" s="107" t="e">
        <f t="shared" si="50"/>
        <v>#REF!</v>
      </c>
      <c r="BG11" s="107">
        <v>25518</v>
      </c>
      <c r="BH11" s="107">
        <v>97385</v>
      </c>
    </row>
    <row r="12" spans="1:60" ht="18.75" customHeight="1">
      <c r="A12" s="349">
        <v>5</v>
      </c>
      <c r="B12" s="103">
        <v>130163</v>
      </c>
      <c r="C12" s="361">
        <f>VLOOKUP(A12,'Pivot - IIID'!$A$4:$C$15,2,0)</f>
        <v>50810.756000000001</v>
      </c>
      <c r="D12" s="362">
        <f>VLOOKUP(A12,'Pivot - IIID'!$A$4:$C$15,3,0)</f>
        <v>39713</v>
      </c>
      <c r="E12" s="104">
        <f t="shared" si="8"/>
        <v>96630</v>
      </c>
      <c r="F12" s="105">
        <f t="shared" si="0"/>
        <v>130163</v>
      </c>
      <c r="G12" s="311">
        <f t="shared" si="9"/>
        <v>130092</v>
      </c>
      <c r="H12" s="106">
        <f t="shared" si="10"/>
        <v>-71</v>
      </c>
      <c r="I12" s="363">
        <f t="shared" si="11"/>
        <v>1</v>
      </c>
      <c r="J12" s="364">
        <f t="shared" si="1"/>
        <v>0</v>
      </c>
      <c r="K12" s="364">
        <f t="shared" si="12"/>
        <v>130163</v>
      </c>
      <c r="L12" s="364">
        <f t="shared" si="2"/>
        <v>0</v>
      </c>
      <c r="M12" s="364">
        <f t="shared" si="13"/>
        <v>130163</v>
      </c>
      <c r="N12" s="365">
        <f t="shared" si="14"/>
        <v>0</v>
      </c>
      <c r="O12" s="366">
        <f t="shared" si="15"/>
        <v>0</v>
      </c>
      <c r="P12" s="367">
        <f t="shared" si="16"/>
        <v>1</v>
      </c>
      <c r="Q12" s="364">
        <f t="shared" si="17"/>
        <v>0</v>
      </c>
      <c r="R12" s="364">
        <f t="shared" si="18"/>
        <v>130163</v>
      </c>
      <c r="S12" s="364">
        <f t="shared" si="3"/>
        <v>0</v>
      </c>
      <c r="T12" s="364">
        <f t="shared" si="19"/>
        <v>130163</v>
      </c>
      <c r="U12" s="365">
        <f t="shared" si="20"/>
        <v>0</v>
      </c>
      <c r="V12" s="366">
        <f t="shared" si="21"/>
        <v>0</v>
      </c>
      <c r="W12" s="367">
        <f t="shared" si="22"/>
        <v>1</v>
      </c>
      <c r="X12" s="364">
        <f t="shared" si="23"/>
        <v>0</v>
      </c>
      <c r="Y12" s="364">
        <f t="shared" si="24"/>
        <v>130163</v>
      </c>
      <c r="Z12" s="364">
        <f t="shared" si="4"/>
        <v>0</v>
      </c>
      <c r="AA12" s="364">
        <f t="shared" si="25"/>
        <v>130163</v>
      </c>
      <c r="AB12" s="365">
        <f t="shared" si="26"/>
        <v>0</v>
      </c>
      <c r="AC12" s="366">
        <f t="shared" si="27"/>
        <v>0</v>
      </c>
      <c r="AD12" s="367">
        <f t="shared" si="28"/>
        <v>1</v>
      </c>
      <c r="AE12" s="364">
        <f t="shared" si="29"/>
        <v>0</v>
      </c>
      <c r="AF12" s="364">
        <f t="shared" si="30"/>
        <v>130163</v>
      </c>
      <c r="AG12" s="364">
        <f t="shared" si="5"/>
        <v>0</v>
      </c>
      <c r="AH12" s="364">
        <f t="shared" si="31"/>
        <v>130163</v>
      </c>
      <c r="AI12" s="365">
        <f t="shared" si="32"/>
        <v>0</v>
      </c>
      <c r="AJ12" s="366">
        <f t="shared" si="33"/>
        <v>0</v>
      </c>
      <c r="AK12" s="367">
        <f t="shared" si="34"/>
        <v>1</v>
      </c>
      <c r="AL12" s="364">
        <f t="shared" si="35"/>
        <v>0</v>
      </c>
      <c r="AM12" s="364">
        <f t="shared" si="36"/>
        <v>130163</v>
      </c>
      <c r="AN12" s="364">
        <f t="shared" si="6"/>
        <v>0</v>
      </c>
      <c r="AO12" s="364">
        <f t="shared" si="37"/>
        <v>130163</v>
      </c>
      <c r="AP12" s="365">
        <f t="shared" si="38"/>
        <v>0</v>
      </c>
      <c r="AQ12" s="366">
        <f t="shared" si="39"/>
        <v>0</v>
      </c>
      <c r="AR12" s="367">
        <f t="shared" si="40"/>
        <v>1</v>
      </c>
      <c r="AS12" s="364">
        <f t="shared" si="41"/>
        <v>0</v>
      </c>
      <c r="AT12" s="364">
        <f t="shared" si="42"/>
        <v>130163</v>
      </c>
      <c r="AU12" s="364">
        <f t="shared" si="7"/>
        <v>0</v>
      </c>
      <c r="AV12" s="364">
        <f t="shared" si="43"/>
        <v>130163</v>
      </c>
      <c r="AW12" s="365">
        <f t="shared" si="44"/>
        <v>0</v>
      </c>
      <c r="AX12" s="365">
        <f t="shared" si="45"/>
        <v>0</v>
      </c>
      <c r="AY12" s="368">
        <f t="shared" si="46"/>
        <v>130163</v>
      </c>
      <c r="AZ12" s="369">
        <f t="shared" si="47"/>
        <v>0</v>
      </c>
      <c r="BA12" s="365">
        <f t="shared" si="48"/>
        <v>-71</v>
      </c>
      <c r="BB12" s="312" t="e">
        <f>+G12*#REF!</f>
        <v>#REF!</v>
      </c>
      <c r="BC12" s="364" t="e">
        <f>+G12*#REF!</f>
        <v>#REF!</v>
      </c>
      <c r="BD12" s="370" t="e">
        <f t="shared" si="49"/>
        <v>#REF!</v>
      </c>
      <c r="BE12" s="371"/>
      <c r="BF12" s="107" t="e">
        <f t="shared" si="50"/>
        <v>#REF!</v>
      </c>
      <c r="BG12" s="107">
        <v>29213</v>
      </c>
      <c r="BH12" s="107">
        <v>111484</v>
      </c>
    </row>
    <row r="13" spans="1:60" ht="18.75" customHeight="1">
      <c r="A13" s="349">
        <v>6</v>
      </c>
      <c r="B13" s="103">
        <v>123604</v>
      </c>
      <c r="C13" s="361">
        <f>VLOOKUP(A13,'Pivot - IIID'!$A$4:$C$15,2,0)</f>
        <v>108223.723</v>
      </c>
      <c r="D13" s="362">
        <f>VLOOKUP(A13,'Pivot - IIID'!$A$4:$C$15,3,0)</f>
        <v>56355</v>
      </c>
      <c r="E13" s="104">
        <f t="shared" si="8"/>
        <v>166429</v>
      </c>
      <c r="F13" s="105">
        <f t="shared" si="0"/>
        <v>166429</v>
      </c>
      <c r="G13" s="311">
        <f t="shared" si="9"/>
        <v>123513</v>
      </c>
      <c r="H13" s="106">
        <f t="shared" si="10"/>
        <v>-91</v>
      </c>
      <c r="I13" s="363">
        <f t="shared" si="11"/>
        <v>0</v>
      </c>
      <c r="J13" s="364">
        <f t="shared" si="1"/>
        <v>166429</v>
      </c>
      <c r="K13" s="364">
        <f t="shared" si="12"/>
        <v>0</v>
      </c>
      <c r="L13" s="364">
        <f t="shared" si="2"/>
        <v>-35602</v>
      </c>
      <c r="M13" s="364">
        <f t="shared" si="13"/>
        <v>130827</v>
      </c>
      <c r="N13" s="365">
        <f t="shared" si="14"/>
        <v>7223</v>
      </c>
      <c r="O13" s="366">
        <f t="shared" si="15"/>
        <v>0</v>
      </c>
      <c r="P13" s="367">
        <f t="shared" si="16"/>
        <v>0</v>
      </c>
      <c r="Q13" s="364">
        <f t="shared" si="17"/>
        <v>130827</v>
      </c>
      <c r="R13" s="364">
        <f t="shared" si="18"/>
        <v>0</v>
      </c>
      <c r="S13" s="364">
        <f t="shared" si="3"/>
        <v>-14434</v>
      </c>
      <c r="T13" s="364">
        <f t="shared" si="19"/>
        <v>116393</v>
      </c>
      <c r="U13" s="365">
        <f t="shared" si="20"/>
        <v>-7211</v>
      </c>
      <c r="V13" s="366">
        <f t="shared" si="21"/>
        <v>1</v>
      </c>
      <c r="W13" s="367">
        <f t="shared" si="22"/>
        <v>1</v>
      </c>
      <c r="X13" s="364">
        <f t="shared" si="23"/>
        <v>0</v>
      </c>
      <c r="Y13" s="364">
        <f t="shared" si="24"/>
        <v>123604</v>
      </c>
      <c r="Z13" s="364">
        <f t="shared" si="4"/>
        <v>0</v>
      </c>
      <c r="AA13" s="364">
        <f t="shared" si="25"/>
        <v>123604</v>
      </c>
      <c r="AB13" s="365">
        <f t="shared" si="26"/>
        <v>0</v>
      </c>
      <c r="AC13" s="366">
        <f t="shared" si="27"/>
        <v>0</v>
      </c>
      <c r="AD13" s="367">
        <f t="shared" si="28"/>
        <v>1</v>
      </c>
      <c r="AE13" s="364">
        <f t="shared" si="29"/>
        <v>0</v>
      </c>
      <c r="AF13" s="364">
        <f t="shared" si="30"/>
        <v>123604</v>
      </c>
      <c r="AG13" s="364">
        <f t="shared" si="5"/>
        <v>0</v>
      </c>
      <c r="AH13" s="364">
        <f t="shared" si="31"/>
        <v>123604</v>
      </c>
      <c r="AI13" s="365">
        <f t="shared" si="32"/>
        <v>0</v>
      </c>
      <c r="AJ13" s="366">
        <f t="shared" si="33"/>
        <v>0</v>
      </c>
      <c r="AK13" s="367">
        <f t="shared" si="34"/>
        <v>1</v>
      </c>
      <c r="AL13" s="364">
        <f t="shared" si="35"/>
        <v>0</v>
      </c>
      <c r="AM13" s="364">
        <f t="shared" si="36"/>
        <v>123604</v>
      </c>
      <c r="AN13" s="364">
        <f t="shared" si="6"/>
        <v>0</v>
      </c>
      <c r="AO13" s="364">
        <f t="shared" si="37"/>
        <v>123604</v>
      </c>
      <c r="AP13" s="365">
        <f t="shared" si="38"/>
        <v>0</v>
      </c>
      <c r="AQ13" s="366">
        <f t="shared" si="39"/>
        <v>0</v>
      </c>
      <c r="AR13" s="367">
        <f t="shared" si="40"/>
        <v>1</v>
      </c>
      <c r="AS13" s="364">
        <f t="shared" si="41"/>
        <v>0</v>
      </c>
      <c r="AT13" s="364">
        <f t="shared" si="42"/>
        <v>123604</v>
      </c>
      <c r="AU13" s="364">
        <f t="shared" si="7"/>
        <v>0</v>
      </c>
      <c r="AV13" s="364">
        <f t="shared" si="43"/>
        <v>123604</v>
      </c>
      <c r="AW13" s="365">
        <f t="shared" si="44"/>
        <v>0</v>
      </c>
      <c r="AX13" s="365">
        <f t="shared" si="45"/>
        <v>0</v>
      </c>
      <c r="AY13" s="368">
        <f t="shared" si="46"/>
        <v>123604</v>
      </c>
      <c r="AZ13" s="369">
        <f t="shared" si="47"/>
        <v>0</v>
      </c>
      <c r="BA13" s="365">
        <f t="shared" si="48"/>
        <v>-91</v>
      </c>
      <c r="BB13" s="312" t="e">
        <f>+G13*#REF!</f>
        <v>#REF!</v>
      </c>
      <c r="BC13" s="364" t="e">
        <f>+G13*#REF!</f>
        <v>#REF!</v>
      </c>
      <c r="BD13" s="370" t="e">
        <f t="shared" si="49"/>
        <v>#REF!</v>
      </c>
      <c r="BE13" s="371"/>
      <c r="BF13" s="107" t="e">
        <f t="shared" si="50"/>
        <v>#REF!</v>
      </c>
      <c r="BG13" s="107">
        <v>28206</v>
      </c>
      <c r="BH13" s="107">
        <v>107640</v>
      </c>
    </row>
    <row r="14" spans="1:60" ht="18.75" customHeight="1">
      <c r="A14" s="349">
        <v>7</v>
      </c>
      <c r="B14" s="103">
        <v>172751</v>
      </c>
      <c r="C14" s="361">
        <f>VLOOKUP(A14,'Pivot - IIID'!$A$4:$C$15,2,0)</f>
        <v>90276.466</v>
      </c>
      <c r="D14" s="362">
        <f>VLOOKUP(A14,'Pivot - IIID'!$A$4:$C$15,3,0)</f>
        <v>44528</v>
      </c>
      <c r="E14" s="104">
        <f t="shared" si="8"/>
        <v>135368</v>
      </c>
      <c r="F14" s="105">
        <f t="shared" si="0"/>
        <v>172751</v>
      </c>
      <c r="G14" s="311">
        <f t="shared" si="9"/>
        <v>172657</v>
      </c>
      <c r="H14" s="106">
        <f t="shared" si="10"/>
        <v>-94</v>
      </c>
      <c r="I14" s="363">
        <f t="shared" si="11"/>
        <v>1</v>
      </c>
      <c r="J14" s="364">
        <f t="shared" si="1"/>
        <v>0</v>
      </c>
      <c r="K14" s="364">
        <f t="shared" si="12"/>
        <v>172751</v>
      </c>
      <c r="L14" s="364">
        <f t="shared" si="2"/>
        <v>0</v>
      </c>
      <c r="M14" s="364">
        <f t="shared" si="13"/>
        <v>172751</v>
      </c>
      <c r="N14" s="365">
        <f t="shared" si="14"/>
        <v>0</v>
      </c>
      <c r="O14" s="366">
        <f t="shared" si="15"/>
        <v>0</v>
      </c>
      <c r="P14" s="367">
        <f t="shared" si="16"/>
        <v>1</v>
      </c>
      <c r="Q14" s="364">
        <f t="shared" si="17"/>
        <v>0</v>
      </c>
      <c r="R14" s="364">
        <f t="shared" si="18"/>
        <v>172751</v>
      </c>
      <c r="S14" s="364">
        <f t="shared" si="3"/>
        <v>0</v>
      </c>
      <c r="T14" s="364">
        <f t="shared" si="19"/>
        <v>172751</v>
      </c>
      <c r="U14" s="365">
        <f t="shared" si="20"/>
        <v>0</v>
      </c>
      <c r="V14" s="366">
        <f t="shared" si="21"/>
        <v>0</v>
      </c>
      <c r="W14" s="367">
        <f t="shared" si="22"/>
        <v>1</v>
      </c>
      <c r="X14" s="364">
        <f t="shared" si="23"/>
        <v>0</v>
      </c>
      <c r="Y14" s="364">
        <f t="shared" si="24"/>
        <v>172751</v>
      </c>
      <c r="Z14" s="364">
        <f t="shared" si="4"/>
        <v>0</v>
      </c>
      <c r="AA14" s="364">
        <f t="shared" si="25"/>
        <v>172751</v>
      </c>
      <c r="AB14" s="365">
        <f t="shared" si="26"/>
        <v>0</v>
      </c>
      <c r="AC14" s="366">
        <f t="shared" si="27"/>
        <v>0</v>
      </c>
      <c r="AD14" s="367">
        <f t="shared" si="28"/>
        <v>1</v>
      </c>
      <c r="AE14" s="364">
        <f t="shared" si="29"/>
        <v>0</v>
      </c>
      <c r="AF14" s="364">
        <f t="shared" si="30"/>
        <v>172751</v>
      </c>
      <c r="AG14" s="364">
        <f t="shared" si="5"/>
        <v>0</v>
      </c>
      <c r="AH14" s="364">
        <f t="shared" si="31"/>
        <v>172751</v>
      </c>
      <c r="AI14" s="365">
        <f t="shared" si="32"/>
        <v>0</v>
      </c>
      <c r="AJ14" s="366">
        <f t="shared" si="33"/>
        <v>0</v>
      </c>
      <c r="AK14" s="367">
        <f t="shared" si="34"/>
        <v>1</v>
      </c>
      <c r="AL14" s="364">
        <f t="shared" si="35"/>
        <v>0</v>
      </c>
      <c r="AM14" s="364">
        <f t="shared" si="36"/>
        <v>172751</v>
      </c>
      <c r="AN14" s="364">
        <f t="shared" si="6"/>
        <v>0</v>
      </c>
      <c r="AO14" s="364">
        <f t="shared" si="37"/>
        <v>172751</v>
      </c>
      <c r="AP14" s="365">
        <f t="shared" si="38"/>
        <v>0</v>
      </c>
      <c r="AQ14" s="366">
        <f t="shared" si="39"/>
        <v>0</v>
      </c>
      <c r="AR14" s="367">
        <f t="shared" si="40"/>
        <v>1</v>
      </c>
      <c r="AS14" s="364">
        <f t="shared" si="41"/>
        <v>0</v>
      </c>
      <c r="AT14" s="364">
        <f t="shared" si="42"/>
        <v>172751</v>
      </c>
      <c r="AU14" s="364">
        <f t="shared" si="7"/>
        <v>0</v>
      </c>
      <c r="AV14" s="364">
        <f t="shared" si="43"/>
        <v>172751</v>
      </c>
      <c r="AW14" s="365">
        <f t="shared" si="44"/>
        <v>0</v>
      </c>
      <c r="AX14" s="365">
        <f t="shared" si="45"/>
        <v>0</v>
      </c>
      <c r="AY14" s="368">
        <f t="shared" si="46"/>
        <v>172751</v>
      </c>
      <c r="AZ14" s="369">
        <f t="shared" si="47"/>
        <v>0</v>
      </c>
      <c r="BA14" s="365">
        <f t="shared" si="48"/>
        <v>-94</v>
      </c>
      <c r="BB14" s="312" t="e">
        <f>+G14*#REF!</f>
        <v>#REF!</v>
      </c>
      <c r="BC14" s="364" t="e">
        <f>+G14*#REF!</f>
        <v>#REF!</v>
      </c>
      <c r="BD14" s="370" t="e">
        <f t="shared" si="49"/>
        <v>#REF!</v>
      </c>
      <c r="BE14" s="371"/>
      <c r="BF14" s="107" t="e">
        <f t="shared" si="50"/>
        <v>#REF!</v>
      </c>
      <c r="BG14" s="107">
        <v>38771</v>
      </c>
      <c r="BH14" s="107">
        <v>147962</v>
      </c>
    </row>
    <row r="15" spans="1:60" ht="18.75" customHeight="1">
      <c r="A15" s="349">
        <v>8</v>
      </c>
      <c r="B15" s="103">
        <v>79537</v>
      </c>
      <c r="C15" s="361">
        <f>VLOOKUP(A15,'Pivot - IIID'!$A$4:$C$15,2,0)</f>
        <v>93081.126999999993</v>
      </c>
      <c r="D15" s="362">
        <f>VLOOKUP(A15,'Pivot - IIID'!$A$4:$C$15,3,0)</f>
        <v>44293</v>
      </c>
      <c r="E15" s="104">
        <f t="shared" si="8"/>
        <v>137315</v>
      </c>
      <c r="F15" s="105">
        <f t="shared" si="0"/>
        <v>137315</v>
      </c>
      <c r="G15" s="311">
        <f t="shared" si="9"/>
        <v>79462</v>
      </c>
      <c r="H15" s="106">
        <f t="shared" si="10"/>
        <v>-75</v>
      </c>
      <c r="I15" s="363">
        <f t="shared" si="11"/>
        <v>0</v>
      </c>
      <c r="J15" s="364">
        <f t="shared" si="1"/>
        <v>137315</v>
      </c>
      <c r="K15" s="364">
        <f t="shared" si="12"/>
        <v>0</v>
      </c>
      <c r="L15" s="364">
        <f t="shared" si="2"/>
        <v>-29374</v>
      </c>
      <c r="M15" s="364">
        <f t="shared" si="13"/>
        <v>107941</v>
      </c>
      <c r="N15" s="365">
        <f t="shared" si="14"/>
        <v>28404</v>
      </c>
      <c r="O15" s="366">
        <f t="shared" si="15"/>
        <v>0</v>
      </c>
      <c r="P15" s="367">
        <f t="shared" si="16"/>
        <v>0</v>
      </c>
      <c r="Q15" s="364">
        <f t="shared" si="17"/>
        <v>107941</v>
      </c>
      <c r="R15" s="364">
        <f t="shared" si="18"/>
        <v>0</v>
      </c>
      <c r="S15" s="364">
        <f t="shared" si="3"/>
        <v>-11909</v>
      </c>
      <c r="T15" s="364">
        <f t="shared" si="19"/>
        <v>96032</v>
      </c>
      <c r="U15" s="365">
        <f t="shared" si="20"/>
        <v>16495</v>
      </c>
      <c r="V15" s="366">
        <f t="shared" si="21"/>
        <v>0</v>
      </c>
      <c r="W15" s="367">
        <f t="shared" si="22"/>
        <v>0</v>
      </c>
      <c r="X15" s="364">
        <f t="shared" si="23"/>
        <v>96032</v>
      </c>
      <c r="Y15" s="364">
        <f t="shared" si="24"/>
        <v>0</v>
      </c>
      <c r="Z15" s="364">
        <f t="shared" si="4"/>
        <v>-16495</v>
      </c>
      <c r="AA15" s="364">
        <f t="shared" si="25"/>
        <v>79537</v>
      </c>
      <c r="AB15" s="365">
        <f t="shared" si="26"/>
        <v>0</v>
      </c>
      <c r="AC15" s="366">
        <f t="shared" si="27"/>
        <v>0</v>
      </c>
      <c r="AD15" s="367">
        <f t="shared" si="28"/>
        <v>0</v>
      </c>
      <c r="AE15" s="364">
        <f t="shared" si="29"/>
        <v>79537</v>
      </c>
      <c r="AF15" s="364">
        <f t="shared" si="30"/>
        <v>0</v>
      </c>
      <c r="AG15" s="364">
        <f t="shared" si="5"/>
        <v>0</v>
      </c>
      <c r="AH15" s="364">
        <f t="shared" si="31"/>
        <v>79537</v>
      </c>
      <c r="AI15" s="365">
        <f t="shared" si="32"/>
        <v>0</v>
      </c>
      <c r="AJ15" s="366">
        <f t="shared" si="33"/>
        <v>0</v>
      </c>
      <c r="AK15" s="367">
        <f t="shared" si="34"/>
        <v>0</v>
      </c>
      <c r="AL15" s="364">
        <f t="shared" si="35"/>
        <v>79537</v>
      </c>
      <c r="AM15" s="364">
        <f t="shared" si="36"/>
        <v>0</v>
      </c>
      <c r="AN15" s="364">
        <f t="shared" si="6"/>
        <v>0</v>
      </c>
      <c r="AO15" s="364">
        <f t="shared" si="37"/>
        <v>79537</v>
      </c>
      <c r="AP15" s="365">
        <f t="shared" si="38"/>
        <v>0</v>
      </c>
      <c r="AQ15" s="366">
        <f t="shared" si="39"/>
        <v>0</v>
      </c>
      <c r="AR15" s="367">
        <f t="shared" si="40"/>
        <v>0</v>
      </c>
      <c r="AS15" s="364">
        <f t="shared" si="41"/>
        <v>79537</v>
      </c>
      <c r="AT15" s="364">
        <f t="shared" si="42"/>
        <v>0</v>
      </c>
      <c r="AU15" s="364">
        <f t="shared" si="7"/>
        <v>0</v>
      </c>
      <c r="AV15" s="364">
        <f t="shared" si="43"/>
        <v>79537</v>
      </c>
      <c r="AW15" s="365">
        <f t="shared" si="44"/>
        <v>0</v>
      </c>
      <c r="AX15" s="365">
        <f t="shared" si="45"/>
        <v>0</v>
      </c>
      <c r="AY15" s="368">
        <f t="shared" si="46"/>
        <v>79537</v>
      </c>
      <c r="AZ15" s="369">
        <f t="shared" si="47"/>
        <v>0</v>
      </c>
      <c r="BA15" s="365">
        <f t="shared" si="48"/>
        <v>-75</v>
      </c>
      <c r="BB15" s="312" t="e">
        <f>+G15*#REF!</f>
        <v>#REF!</v>
      </c>
      <c r="BC15" s="364" t="e">
        <f>+G15*#REF!</f>
        <v>#REF!</v>
      </c>
      <c r="BD15" s="370" t="e">
        <f t="shared" si="49"/>
        <v>#REF!</v>
      </c>
      <c r="BE15" s="371"/>
      <c r="BF15" s="107" t="e">
        <f t="shared" si="50"/>
        <v>#REF!</v>
      </c>
      <c r="BG15" s="107">
        <v>18679</v>
      </c>
      <c r="BH15" s="107">
        <v>71283</v>
      </c>
    </row>
    <row r="16" spans="1:60" ht="18.75" customHeight="1">
      <c r="A16" s="349">
        <v>9</v>
      </c>
      <c r="B16" s="103">
        <v>92534</v>
      </c>
      <c r="C16" s="361">
        <f>VLOOKUP(A16,'Pivot - IIID'!$A$4:$C$15,2,0)</f>
        <v>58561.115380229756</v>
      </c>
      <c r="D16" s="362">
        <f>VLOOKUP(A16,'Pivot - IIID'!$A$4:$C$15,3,0)</f>
        <v>51268</v>
      </c>
      <c r="E16" s="104">
        <f t="shared" si="8"/>
        <v>119039</v>
      </c>
      <c r="F16" s="105">
        <f t="shared" si="0"/>
        <v>119039</v>
      </c>
      <c r="G16" s="311">
        <f t="shared" si="9"/>
        <v>92469</v>
      </c>
      <c r="H16" s="106">
        <f t="shared" si="10"/>
        <v>-65</v>
      </c>
      <c r="I16" s="363">
        <f t="shared" si="11"/>
        <v>0</v>
      </c>
      <c r="J16" s="364">
        <f t="shared" si="1"/>
        <v>119039</v>
      </c>
      <c r="K16" s="364">
        <f t="shared" si="12"/>
        <v>0</v>
      </c>
      <c r="L16" s="364">
        <f t="shared" si="2"/>
        <v>-25465</v>
      </c>
      <c r="M16" s="364">
        <f t="shared" si="13"/>
        <v>93574</v>
      </c>
      <c r="N16" s="365">
        <f t="shared" si="14"/>
        <v>1040</v>
      </c>
      <c r="O16" s="366">
        <f t="shared" si="15"/>
        <v>0</v>
      </c>
      <c r="P16" s="367">
        <f t="shared" si="16"/>
        <v>0</v>
      </c>
      <c r="Q16" s="364">
        <f t="shared" si="17"/>
        <v>93574</v>
      </c>
      <c r="R16" s="364">
        <f t="shared" si="18"/>
        <v>0</v>
      </c>
      <c r="S16" s="364">
        <f t="shared" si="3"/>
        <v>-10324</v>
      </c>
      <c r="T16" s="364">
        <f t="shared" si="19"/>
        <v>83250</v>
      </c>
      <c r="U16" s="365">
        <f t="shared" si="20"/>
        <v>-9284</v>
      </c>
      <c r="V16" s="366">
        <f t="shared" si="21"/>
        <v>1</v>
      </c>
      <c r="W16" s="367">
        <f t="shared" si="22"/>
        <v>1</v>
      </c>
      <c r="X16" s="364">
        <f t="shared" si="23"/>
        <v>0</v>
      </c>
      <c r="Y16" s="364">
        <f t="shared" si="24"/>
        <v>92534</v>
      </c>
      <c r="Z16" s="364">
        <f t="shared" si="4"/>
        <v>0</v>
      </c>
      <c r="AA16" s="364">
        <f t="shared" si="25"/>
        <v>92534</v>
      </c>
      <c r="AB16" s="365">
        <f t="shared" si="26"/>
        <v>0</v>
      </c>
      <c r="AC16" s="366">
        <f t="shared" si="27"/>
        <v>0</v>
      </c>
      <c r="AD16" s="367">
        <f t="shared" si="28"/>
        <v>1</v>
      </c>
      <c r="AE16" s="364">
        <f t="shared" si="29"/>
        <v>0</v>
      </c>
      <c r="AF16" s="364">
        <f t="shared" si="30"/>
        <v>92534</v>
      </c>
      <c r="AG16" s="364">
        <f t="shared" si="5"/>
        <v>0</v>
      </c>
      <c r="AH16" s="364">
        <f t="shared" si="31"/>
        <v>92534</v>
      </c>
      <c r="AI16" s="365">
        <f t="shared" si="32"/>
        <v>0</v>
      </c>
      <c r="AJ16" s="366">
        <f t="shared" si="33"/>
        <v>0</v>
      </c>
      <c r="AK16" s="367">
        <f t="shared" si="34"/>
        <v>1</v>
      </c>
      <c r="AL16" s="364">
        <f t="shared" si="35"/>
        <v>0</v>
      </c>
      <c r="AM16" s="364">
        <f t="shared" si="36"/>
        <v>92534</v>
      </c>
      <c r="AN16" s="364">
        <f t="shared" si="6"/>
        <v>0</v>
      </c>
      <c r="AO16" s="364">
        <f t="shared" si="37"/>
        <v>92534</v>
      </c>
      <c r="AP16" s="365">
        <f t="shared" si="38"/>
        <v>0</v>
      </c>
      <c r="AQ16" s="366">
        <f t="shared" si="39"/>
        <v>0</v>
      </c>
      <c r="AR16" s="367">
        <f t="shared" si="40"/>
        <v>1</v>
      </c>
      <c r="AS16" s="364">
        <f t="shared" si="41"/>
        <v>0</v>
      </c>
      <c r="AT16" s="364">
        <f t="shared" si="42"/>
        <v>92534</v>
      </c>
      <c r="AU16" s="364">
        <f t="shared" si="7"/>
        <v>0</v>
      </c>
      <c r="AV16" s="364">
        <f t="shared" si="43"/>
        <v>92534</v>
      </c>
      <c r="AW16" s="365">
        <f t="shared" si="44"/>
        <v>0</v>
      </c>
      <c r="AX16" s="365">
        <f t="shared" si="45"/>
        <v>0</v>
      </c>
      <c r="AY16" s="368">
        <f t="shared" si="46"/>
        <v>92534</v>
      </c>
      <c r="AZ16" s="369">
        <f t="shared" si="47"/>
        <v>0</v>
      </c>
      <c r="BA16" s="365">
        <f t="shared" si="48"/>
        <v>-65</v>
      </c>
      <c r="BB16" s="312" t="e">
        <f>+G16*#REF!</f>
        <v>#REF!</v>
      </c>
      <c r="BC16" s="364" t="e">
        <f>+G16*#REF!</f>
        <v>#REF!</v>
      </c>
      <c r="BD16" s="370" t="e">
        <f t="shared" si="49"/>
        <v>#REF!</v>
      </c>
      <c r="BE16" s="371"/>
      <c r="BF16" s="107" t="e">
        <f t="shared" si="50"/>
        <v>#REF!</v>
      </c>
      <c r="BG16" s="107">
        <v>21050</v>
      </c>
      <c r="BH16" s="107">
        <v>80333</v>
      </c>
    </row>
    <row r="17" spans="1:60" ht="18.75" customHeight="1">
      <c r="A17" s="349">
        <v>10</v>
      </c>
      <c r="B17" s="103">
        <v>107141</v>
      </c>
      <c r="C17" s="361">
        <f>VLOOKUP(A17,'Pivot - IIID'!$A$4:$C$15,2,0)</f>
        <v>40636.978999999999</v>
      </c>
      <c r="D17" s="362">
        <f>VLOOKUP(A17,'Pivot - IIID'!$A$4:$C$15,3,0)</f>
        <v>48593</v>
      </c>
      <c r="E17" s="104">
        <f t="shared" si="8"/>
        <v>100764</v>
      </c>
      <c r="F17" s="105">
        <f t="shared" si="0"/>
        <v>107141</v>
      </c>
      <c r="G17" s="311">
        <f t="shared" si="9"/>
        <v>107083</v>
      </c>
      <c r="H17" s="106">
        <f t="shared" si="10"/>
        <v>-58</v>
      </c>
      <c r="I17" s="363">
        <f t="shared" si="11"/>
        <v>1</v>
      </c>
      <c r="J17" s="364">
        <f t="shared" si="1"/>
        <v>0</v>
      </c>
      <c r="K17" s="364">
        <f t="shared" si="12"/>
        <v>107141</v>
      </c>
      <c r="L17" s="364">
        <f t="shared" si="2"/>
        <v>0</v>
      </c>
      <c r="M17" s="364">
        <f t="shared" si="13"/>
        <v>107141</v>
      </c>
      <c r="N17" s="365">
        <f t="shared" si="14"/>
        <v>0</v>
      </c>
      <c r="O17" s="366">
        <f t="shared" si="15"/>
        <v>0</v>
      </c>
      <c r="P17" s="367">
        <f t="shared" si="16"/>
        <v>1</v>
      </c>
      <c r="Q17" s="364">
        <f t="shared" si="17"/>
        <v>0</v>
      </c>
      <c r="R17" s="364">
        <f t="shared" si="18"/>
        <v>107141</v>
      </c>
      <c r="S17" s="364">
        <f t="shared" si="3"/>
        <v>0</v>
      </c>
      <c r="T17" s="364">
        <f t="shared" si="19"/>
        <v>107141</v>
      </c>
      <c r="U17" s="365">
        <f t="shared" si="20"/>
        <v>0</v>
      </c>
      <c r="V17" s="366">
        <f t="shared" si="21"/>
        <v>0</v>
      </c>
      <c r="W17" s="367">
        <f t="shared" si="22"/>
        <v>1</v>
      </c>
      <c r="X17" s="364">
        <f t="shared" si="23"/>
        <v>0</v>
      </c>
      <c r="Y17" s="364">
        <f t="shared" si="24"/>
        <v>107141</v>
      </c>
      <c r="Z17" s="364">
        <f t="shared" si="4"/>
        <v>0</v>
      </c>
      <c r="AA17" s="364">
        <f t="shared" si="25"/>
        <v>107141</v>
      </c>
      <c r="AB17" s="365">
        <f t="shared" si="26"/>
        <v>0</v>
      </c>
      <c r="AC17" s="366">
        <f t="shared" si="27"/>
        <v>0</v>
      </c>
      <c r="AD17" s="367">
        <f t="shared" si="28"/>
        <v>1</v>
      </c>
      <c r="AE17" s="364">
        <f t="shared" si="29"/>
        <v>0</v>
      </c>
      <c r="AF17" s="364">
        <f t="shared" si="30"/>
        <v>107141</v>
      </c>
      <c r="AG17" s="364">
        <f t="shared" si="5"/>
        <v>0</v>
      </c>
      <c r="AH17" s="364">
        <f t="shared" si="31"/>
        <v>107141</v>
      </c>
      <c r="AI17" s="365">
        <f t="shared" si="32"/>
        <v>0</v>
      </c>
      <c r="AJ17" s="366">
        <f t="shared" si="33"/>
        <v>0</v>
      </c>
      <c r="AK17" s="367">
        <f t="shared" si="34"/>
        <v>1</v>
      </c>
      <c r="AL17" s="364">
        <f t="shared" si="35"/>
        <v>0</v>
      </c>
      <c r="AM17" s="364">
        <f t="shared" si="36"/>
        <v>107141</v>
      </c>
      <c r="AN17" s="364">
        <f t="shared" si="6"/>
        <v>0</v>
      </c>
      <c r="AO17" s="364">
        <f t="shared" si="37"/>
        <v>107141</v>
      </c>
      <c r="AP17" s="365">
        <f t="shared" si="38"/>
        <v>0</v>
      </c>
      <c r="AQ17" s="366">
        <f t="shared" si="39"/>
        <v>0</v>
      </c>
      <c r="AR17" s="367">
        <f t="shared" si="40"/>
        <v>1</v>
      </c>
      <c r="AS17" s="364">
        <f t="shared" si="41"/>
        <v>0</v>
      </c>
      <c r="AT17" s="364">
        <f t="shared" si="42"/>
        <v>107141</v>
      </c>
      <c r="AU17" s="364">
        <f t="shared" si="7"/>
        <v>0</v>
      </c>
      <c r="AV17" s="364">
        <f t="shared" si="43"/>
        <v>107141</v>
      </c>
      <c r="AW17" s="365">
        <f t="shared" si="44"/>
        <v>0</v>
      </c>
      <c r="AX17" s="365">
        <f t="shared" si="45"/>
        <v>0</v>
      </c>
      <c r="AY17" s="368">
        <f t="shared" si="46"/>
        <v>107141</v>
      </c>
      <c r="AZ17" s="369">
        <f t="shared" si="47"/>
        <v>0</v>
      </c>
      <c r="BA17" s="365">
        <f t="shared" si="48"/>
        <v>-58</v>
      </c>
      <c r="BB17" s="312" t="e">
        <f>+G17*#REF!</f>
        <v>#REF!</v>
      </c>
      <c r="BC17" s="364" t="e">
        <f>+G17*#REF!</f>
        <v>#REF!</v>
      </c>
      <c r="BD17" s="370" t="e">
        <f t="shared" si="49"/>
        <v>#REF!</v>
      </c>
      <c r="BE17" s="371"/>
      <c r="BF17" s="107" t="e">
        <f t="shared" si="50"/>
        <v>#REF!</v>
      </c>
      <c r="BG17" s="107">
        <v>24046</v>
      </c>
      <c r="BH17" s="107">
        <v>91766</v>
      </c>
    </row>
    <row r="18" spans="1:60" ht="18.75" customHeight="1">
      <c r="A18" s="349">
        <v>11</v>
      </c>
      <c r="B18" s="103">
        <v>216654</v>
      </c>
      <c r="C18" s="361">
        <f>VLOOKUP(A18,'Pivot - IIID'!$A$4:$C$15,2,0)</f>
        <v>125081.28499999997</v>
      </c>
      <c r="D18" s="362">
        <f>VLOOKUP(A18,'Pivot - IIID'!$A$4:$C$15,3,0)</f>
        <v>109087</v>
      </c>
      <c r="E18" s="104">
        <f t="shared" si="8"/>
        <v>253674</v>
      </c>
      <c r="F18" s="105">
        <f t="shared" si="0"/>
        <v>253674</v>
      </c>
      <c r="G18" s="311">
        <f t="shared" si="9"/>
        <v>216516</v>
      </c>
      <c r="H18" s="106">
        <f t="shared" si="10"/>
        <v>-138</v>
      </c>
      <c r="I18" s="363">
        <f t="shared" si="11"/>
        <v>0</v>
      </c>
      <c r="J18" s="364">
        <f t="shared" si="1"/>
        <v>253674</v>
      </c>
      <c r="K18" s="364">
        <f t="shared" si="12"/>
        <v>0</v>
      </c>
      <c r="L18" s="364">
        <f t="shared" si="2"/>
        <v>-54266</v>
      </c>
      <c r="M18" s="364">
        <f t="shared" si="13"/>
        <v>199408</v>
      </c>
      <c r="N18" s="365">
        <f t="shared" si="14"/>
        <v>-17246</v>
      </c>
      <c r="O18" s="366">
        <f t="shared" si="15"/>
        <v>1</v>
      </c>
      <c r="P18" s="367">
        <f t="shared" si="16"/>
        <v>1</v>
      </c>
      <c r="Q18" s="364">
        <f t="shared" si="17"/>
        <v>0</v>
      </c>
      <c r="R18" s="364">
        <f t="shared" si="18"/>
        <v>216654</v>
      </c>
      <c r="S18" s="364">
        <f t="shared" si="3"/>
        <v>0</v>
      </c>
      <c r="T18" s="364">
        <f t="shared" si="19"/>
        <v>216654</v>
      </c>
      <c r="U18" s="365">
        <f t="shared" si="20"/>
        <v>0</v>
      </c>
      <c r="V18" s="366">
        <f t="shared" si="21"/>
        <v>0</v>
      </c>
      <c r="W18" s="367">
        <f t="shared" si="22"/>
        <v>1</v>
      </c>
      <c r="X18" s="364">
        <f t="shared" si="23"/>
        <v>0</v>
      </c>
      <c r="Y18" s="364">
        <f t="shared" si="24"/>
        <v>216654</v>
      </c>
      <c r="Z18" s="364">
        <f t="shared" si="4"/>
        <v>0</v>
      </c>
      <c r="AA18" s="364">
        <f t="shared" si="25"/>
        <v>216654</v>
      </c>
      <c r="AB18" s="365">
        <f t="shared" si="26"/>
        <v>0</v>
      </c>
      <c r="AC18" s="366">
        <f t="shared" si="27"/>
        <v>0</v>
      </c>
      <c r="AD18" s="367">
        <f t="shared" si="28"/>
        <v>1</v>
      </c>
      <c r="AE18" s="364">
        <f t="shared" si="29"/>
        <v>0</v>
      </c>
      <c r="AF18" s="364">
        <f t="shared" si="30"/>
        <v>216654</v>
      </c>
      <c r="AG18" s="364">
        <f t="shared" si="5"/>
        <v>0</v>
      </c>
      <c r="AH18" s="364">
        <f t="shared" si="31"/>
        <v>216654</v>
      </c>
      <c r="AI18" s="365">
        <f t="shared" si="32"/>
        <v>0</v>
      </c>
      <c r="AJ18" s="366">
        <f t="shared" si="33"/>
        <v>0</v>
      </c>
      <c r="AK18" s="367">
        <f t="shared" si="34"/>
        <v>1</v>
      </c>
      <c r="AL18" s="364">
        <f t="shared" si="35"/>
        <v>0</v>
      </c>
      <c r="AM18" s="364">
        <f t="shared" si="36"/>
        <v>216654</v>
      </c>
      <c r="AN18" s="364">
        <f t="shared" si="6"/>
        <v>0</v>
      </c>
      <c r="AO18" s="364">
        <f t="shared" si="37"/>
        <v>216654</v>
      </c>
      <c r="AP18" s="365">
        <f t="shared" si="38"/>
        <v>0</v>
      </c>
      <c r="AQ18" s="366">
        <f t="shared" si="39"/>
        <v>0</v>
      </c>
      <c r="AR18" s="367">
        <f t="shared" si="40"/>
        <v>1</v>
      </c>
      <c r="AS18" s="364">
        <f t="shared" si="41"/>
        <v>0</v>
      </c>
      <c r="AT18" s="364">
        <f t="shared" si="42"/>
        <v>216654</v>
      </c>
      <c r="AU18" s="364">
        <f t="shared" si="7"/>
        <v>0</v>
      </c>
      <c r="AV18" s="364">
        <f t="shared" si="43"/>
        <v>216654</v>
      </c>
      <c r="AW18" s="365">
        <f t="shared" si="44"/>
        <v>0</v>
      </c>
      <c r="AX18" s="365">
        <f t="shared" si="45"/>
        <v>0</v>
      </c>
      <c r="AY18" s="368">
        <f t="shared" si="46"/>
        <v>216654</v>
      </c>
      <c r="AZ18" s="369">
        <f t="shared" si="47"/>
        <v>0</v>
      </c>
      <c r="BA18" s="365">
        <f t="shared" si="48"/>
        <v>-138</v>
      </c>
      <c r="BB18" s="312" t="e">
        <f>+G18*#REF!</f>
        <v>#REF!</v>
      </c>
      <c r="BC18" s="364" t="e">
        <f>+G18*#REF!</f>
        <v>#REF!</v>
      </c>
      <c r="BD18" s="370" t="e">
        <f t="shared" si="49"/>
        <v>#REF!</v>
      </c>
      <c r="BE18" s="371"/>
      <c r="BF18" s="107" t="e">
        <f t="shared" si="50"/>
        <v>#REF!</v>
      </c>
      <c r="BG18" s="107">
        <v>49173</v>
      </c>
      <c r="BH18" s="107">
        <v>187657</v>
      </c>
    </row>
    <row r="19" spans="1:60" s="385" customFormat="1" ht="18.75" customHeight="1" thickBot="1">
      <c r="A19" s="372" t="s">
        <v>1</v>
      </c>
      <c r="B19" s="108">
        <f t="shared" ref="B19:H19" si="51">SUM(B8:B18)</f>
        <v>1425837</v>
      </c>
      <c r="C19" s="373">
        <f t="shared" si="51"/>
        <v>878153.92238022969</v>
      </c>
      <c r="D19" s="374">
        <f t="shared" si="51"/>
        <v>510694</v>
      </c>
      <c r="E19" s="109">
        <f t="shared" si="51"/>
        <v>1424969</v>
      </c>
      <c r="F19" s="110">
        <f t="shared" si="51"/>
        <v>1596187</v>
      </c>
      <c r="G19" s="313">
        <f t="shared" si="51"/>
        <v>1424969</v>
      </c>
      <c r="H19" s="111">
        <f t="shared" si="51"/>
        <v>-868</v>
      </c>
      <c r="I19" s="375"/>
      <c r="J19" s="376">
        <f t="shared" ref="J19:O19" si="52">SUM(J8:J18)</f>
        <v>796326</v>
      </c>
      <c r="K19" s="376">
        <f t="shared" si="52"/>
        <v>799861</v>
      </c>
      <c r="L19" s="376">
        <f t="shared" si="52"/>
        <v>-170349</v>
      </c>
      <c r="M19" s="376">
        <f t="shared" si="52"/>
        <v>1425838</v>
      </c>
      <c r="N19" s="376">
        <f t="shared" si="52"/>
        <v>1</v>
      </c>
      <c r="O19" s="377">
        <f t="shared" si="52"/>
        <v>2</v>
      </c>
      <c r="P19" s="378"/>
      <c r="Q19" s="376">
        <f t="shared" ref="Q19:V19" si="53">SUM(Q8:Q18)</f>
        <v>332342</v>
      </c>
      <c r="R19" s="376">
        <f t="shared" si="53"/>
        <v>1130162</v>
      </c>
      <c r="S19" s="376">
        <f t="shared" si="53"/>
        <v>-36667</v>
      </c>
      <c r="T19" s="376">
        <f t="shared" si="53"/>
        <v>1425837</v>
      </c>
      <c r="U19" s="376">
        <f t="shared" si="53"/>
        <v>0</v>
      </c>
      <c r="V19" s="377">
        <f t="shared" si="53"/>
        <v>2</v>
      </c>
      <c r="W19" s="378"/>
      <c r="X19" s="376">
        <f t="shared" ref="X19:AC19" si="54">SUM(X8:X18)</f>
        <v>96032</v>
      </c>
      <c r="Y19" s="376">
        <f t="shared" si="54"/>
        <v>1346300</v>
      </c>
      <c r="Z19" s="376">
        <f t="shared" si="54"/>
        <v>-16495</v>
      </c>
      <c r="AA19" s="376">
        <f t="shared" si="54"/>
        <v>1425837</v>
      </c>
      <c r="AB19" s="376">
        <f t="shared" si="54"/>
        <v>0</v>
      </c>
      <c r="AC19" s="377">
        <f t="shared" si="54"/>
        <v>0</v>
      </c>
      <c r="AD19" s="378"/>
      <c r="AE19" s="376">
        <f t="shared" ref="AE19:AJ19" si="55">SUM(AE8:AE18)</f>
        <v>79537</v>
      </c>
      <c r="AF19" s="376">
        <f t="shared" si="55"/>
        <v>1346300</v>
      </c>
      <c r="AG19" s="376">
        <f t="shared" si="55"/>
        <v>0</v>
      </c>
      <c r="AH19" s="376">
        <f t="shared" si="55"/>
        <v>1425837</v>
      </c>
      <c r="AI19" s="376">
        <f t="shared" si="55"/>
        <v>0</v>
      </c>
      <c r="AJ19" s="377">
        <f t="shared" si="55"/>
        <v>0</v>
      </c>
      <c r="AK19" s="378"/>
      <c r="AL19" s="376">
        <f t="shared" ref="AL19:AQ19" si="56">SUM(AL8:AL18)</f>
        <v>79537</v>
      </c>
      <c r="AM19" s="376">
        <f t="shared" si="56"/>
        <v>1346300</v>
      </c>
      <c r="AN19" s="376">
        <f t="shared" si="56"/>
        <v>0</v>
      </c>
      <c r="AO19" s="376">
        <f t="shared" si="56"/>
        <v>1425837</v>
      </c>
      <c r="AP19" s="376">
        <f t="shared" si="56"/>
        <v>0</v>
      </c>
      <c r="AQ19" s="377">
        <f t="shared" si="56"/>
        <v>0</v>
      </c>
      <c r="AR19" s="378"/>
      <c r="AS19" s="376">
        <f t="shared" ref="AS19:BB19" si="57">SUM(AS8:AS18)</f>
        <v>79537</v>
      </c>
      <c r="AT19" s="376">
        <f t="shared" si="57"/>
        <v>1346300</v>
      </c>
      <c r="AU19" s="376">
        <f t="shared" si="57"/>
        <v>0</v>
      </c>
      <c r="AV19" s="376">
        <f t="shared" si="57"/>
        <v>1425837</v>
      </c>
      <c r="AW19" s="376">
        <f t="shared" si="57"/>
        <v>0</v>
      </c>
      <c r="AX19" s="379">
        <f t="shared" si="57"/>
        <v>0</v>
      </c>
      <c r="AY19" s="380">
        <f t="shared" si="57"/>
        <v>1425836</v>
      </c>
      <c r="AZ19" s="112">
        <f>SUM(AZ8:AZ18)</f>
        <v>-1</v>
      </c>
      <c r="BA19" s="379">
        <f t="shared" si="57"/>
        <v>-867</v>
      </c>
      <c r="BB19" s="381" t="e">
        <f t="shared" si="57"/>
        <v>#REF!</v>
      </c>
      <c r="BC19" s="382" t="e">
        <f>SUM(BC8:BC18)</f>
        <v>#REF!</v>
      </c>
      <c r="BD19" s="383" t="e">
        <f>SUM(BD8:BD18)</f>
        <v>#REF!</v>
      </c>
      <c r="BE19" s="384"/>
      <c r="BF19" s="107" t="e">
        <f t="shared" si="50"/>
        <v>#REF!</v>
      </c>
      <c r="BG19" s="148">
        <f>SUM(BG8:BG18)</f>
        <v>322142</v>
      </c>
      <c r="BH19" s="148">
        <f>SUM(BH8:BH18)</f>
        <v>1229380</v>
      </c>
    </row>
    <row r="20" spans="1:60">
      <c r="J20" s="386"/>
      <c r="K20" s="386"/>
      <c r="L20" s="386"/>
      <c r="M20" s="386"/>
      <c r="N20" s="386"/>
    </row>
    <row r="22" spans="1:60">
      <c r="A22" s="385" t="s">
        <v>135</v>
      </c>
    </row>
    <row r="23" spans="1:60">
      <c r="B23" s="387" t="s">
        <v>273</v>
      </c>
      <c r="C23" s="107">
        <f>+'2016 Award #2'!F24</f>
        <v>1424969</v>
      </c>
      <c r="D23" s="388" t="s">
        <v>1</v>
      </c>
      <c r="E23" s="107">
        <f>+E19</f>
        <v>1424969</v>
      </c>
      <c r="F23" s="107"/>
      <c r="G23" s="113">
        <f>+G19</f>
        <v>1424969</v>
      </c>
      <c r="H23" s="107"/>
      <c r="I23" s="389"/>
      <c r="J23" s="389"/>
      <c r="K23" s="389"/>
      <c r="L23" s="389"/>
      <c r="M23" s="107">
        <f>+M19</f>
        <v>1425838</v>
      </c>
      <c r="N23" s="107"/>
      <c r="T23" s="107">
        <f>+T19</f>
        <v>1425837</v>
      </c>
      <c r="U23" s="107"/>
      <c r="AA23" s="107">
        <f>+AA19</f>
        <v>1425837</v>
      </c>
      <c r="AB23" s="107"/>
      <c r="AH23" s="107">
        <f>+AH19</f>
        <v>1425837</v>
      </c>
      <c r="AI23" s="107"/>
      <c r="AO23" s="107">
        <f>+AO19</f>
        <v>1425837</v>
      </c>
      <c r="AP23" s="107"/>
      <c r="AV23" s="107">
        <f>+AV19</f>
        <v>1425837</v>
      </c>
      <c r="AW23" s="107"/>
      <c r="AY23" s="107">
        <f>+AY19</f>
        <v>1425836</v>
      </c>
      <c r="AZ23" s="107"/>
      <c r="BB23" s="107" t="e">
        <f>+BB19</f>
        <v>#REF!</v>
      </c>
      <c r="BC23" s="107" t="e">
        <f>+BC19</f>
        <v>#REF!</v>
      </c>
      <c r="BD23" s="107" t="e">
        <f>+BD19</f>
        <v>#REF!</v>
      </c>
      <c r="BF23" s="107"/>
      <c r="BG23" s="390" t="e">
        <f>+#REF!</f>
        <v>#REF!</v>
      </c>
      <c r="BH23" s="390" t="e">
        <f>+#REF!</f>
        <v>#REF!</v>
      </c>
    </row>
    <row r="24" spans="1:60">
      <c r="B24" s="387" t="s">
        <v>249</v>
      </c>
      <c r="C24" s="115">
        <f>+B19</f>
        <v>1425837</v>
      </c>
      <c r="D24" s="388" t="s">
        <v>174</v>
      </c>
      <c r="E24" s="115">
        <f>+C23</f>
        <v>1424969</v>
      </c>
      <c r="F24" s="107"/>
      <c r="G24" s="114">
        <f>+C23</f>
        <v>1424969</v>
      </c>
      <c r="H24" s="116"/>
      <c r="M24" s="115">
        <f>+C24</f>
        <v>1425837</v>
      </c>
      <c r="N24" s="116"/>
      <c r="T24" s="115">
        <f>+C24</f>
        <v>1425837</v>
      </c>
      <c r="U24" s="116"/>
      <c r="AA24" s="115">
        <f>+C24</f>
        <v>1425837</v>
      </c>
      <c r="AB24" s="116"/>
      <c r="AH24" s="115">
        <f>+C24</f>
        <v>1425837</v>
      </c>
      <c r="AI24" s="116"/>
      <c r="AO24" s="115">
        <f>+C24</f>
        <v>1425837</v>
      </c>
      <c r="AP24" s="116"/>
      <c r="AV24" s="115">
        <f>+$C$24</f>
        <v>1425837</v>
      </c>
      <c r="AW24" s="116"/>
      <c r="AY24" s="115">
        <f>+C24</f>
        <v>1425837</v>
      </c>
      <c r="AZ24" s="116"/>
      <c r="BB24" s="115" t="e">
        <f>+#REF!</f>
        <v>#REF!</v>
      </c>
      <c r="BC24" s="115" t="e">
        <f>+#REF!</f>
        <v>#REF!</v>
      </c>
      <c r="BD24" s="115" t="e">
        <f>+#REF!</f>
        <v>#REF!</v>
      </c>
      <c r="BF24" s="116"/>
      <c r="BG24" s="391">
        <f>+BG19</f>
        <v>322142</v>
      </c>
      <c r="BH24" s="391">
        <f>+BH19</f>
        <v>1229380</v>
      </c>
    </row>
    <row r="25" spans="1:60">
      <c r="B25" s="387" t="s">
        <v>164</v>
      </c>
      <c r="C25" s="107">
        <f>+C23-C24</f>
        <v>-868</v>
      </c>
      <c r="D25" s="388" t="s">
        <v>29</v>
      </c>
      <c r="E25" s="107">
        <f>+E23-E24</f>
        <v>0</v>
      </c>
      <c r="F25" s="107"/>
      <c r="G25" s="117">
        <f>+G23-G24</f>
        <v>0</v>
      </c>
      <c r="H25" s="107"/>
      <c r="M25" s="107">
        <f>+M23-M24</f>
        <v>1</v>
      </c>
      <c r="N25" s="107"/>
      <c r="T25" s="107">
        <f>+T23-T24</f>
        <v>0</v>
      </c>
      <c r="U25" s="107"/>
      <c r="AA25" s="107">
        <f>+AA23-AA24</f>
        <v>0</v>
      </c>
      <c r="AB25" s="107"/>
      <c r="AH25" s="107">
        <f>+AH23-AH24</f>
        <v>0</v>
      </c>
      <c r="AI25" s="107"/>
      <c r="AO25" s="107">
        <f>+AO23-AO24</f>
        <v>0</v>
      </c>
      <c r="AP25" s="107"/>
      <c r="AV25" s="107">
        <f>+AV23-AV24</f>
        <v>0</v>
      </c>
      <c r="AW25" s="107"/>
      <c r="AY25" s="107">
        <f>+AY23-AY24</f>
        <v>-1</v>
      </c>
      <c r="AZ25" s="107"/>
      <c r="BB25" s="107" t="e">
        <f>+BB23-BB24</f>
        <v>#REF!</v>
      </c>
      <c r="BC25" s="107" t="e">
        <f>+BC23-BC24</f>
        <v>#REF!</v>
      </c>
      <c r="BD25" s="107" t="e">
        <f>+BD23-BD24</f>
        <v>#REF!</v>
      </c>
      <c r="BF25" s="107"/>
      <c r="BG25" s="390" t="e">
        <f>+BG23-BG24</f>
        <v>#REF!</v>
      </c>
      <c r="BH25" s="390" t="e">
        <f>+BH23-BH24</f>
        <v>#REF!</v>
      </c>
    </row>
    <row r="26" spans="1:60">
      <c r="C26" s="118"/>
    </row>
    <row r="27" spans="1:60">
      <c r="B27" s="387"/>
      <c r="C27" s="392"/>
      <c r="D27" s="392"/>
      <c r="AY27" s="107"/>
      <c r="AZ27" s="107"/>
      <c r="BA27" s="107"/>
    </row>
    <row r="28" spans="1:60" ht="15" customHeight="1">
      <c r="B28" s="387"/>
      <c r="D28" s="393"/>
      <c r="AY28" s="107"/>
      <c r="AZ28" s="107"/>
      <c r="BA28" s="107"/>
    </row>
    <row r="29" spans="1:60">
      <c r="B29" s="387"/>
      <c r="C29" s="393"/>
      <c r="D29" s="393"/>
      <c r="AY29" s="107"/>
      <c r="AZ29" s="107"/>
      <c r="BA29" s="107"/>
    </row>
    <row r="30" spans="1:60">
      <c r="B30" s="387"/>
      <c r="C30" s="393"/>
      <c r="D30" s="393"/>
    </row>
    <row r="31" spans="1:60">
      <c r="B31" s="387"/>
      <c r="C31" s="393"/>
      <c r="D31" s="393"/>
    </row>
    <row r="32" spans="1:60">
      <c r="B32" s="387"/>
      <c r="C32" s="393"/>
      <c r="D32" s="393"/>
    </row>
    <row r="33" spans="2:4">
      <c r="B33" s="387"/>
      <c r="C33" s="393"/>
      <c r="D33" s="393"/>
    </row>
    <row r="34" spans="2:4">
      <c r="B34" s="387"/>
      <c r="C34" s="393"/>
      <c r="D34" s="393"/>
    </row>
    <row r="35" spans="2:4">
      <c r="B35" s="387"/>
      <c r="C35" s="393"/>
      <c r="D35" s="393"/>
    </row>
    <row r="36" spans="2:4">
      <c r="B36" s="387"/>
      <c r="C36" s="393"/>
      <c r="D36" s="393"/>
    </row>
    <row r="37" spans="2:4">
      <c r="B37" s="387"/>
      <c r="C37" s="393"/>
      <c r="D37" s="393"/>
    </row>
    <row r="38" spans="2:4">
      <c r="B38" s="387"/>
      <c r="C38" s="393"/>
      <c r="D38" s="393"/>
    </row>
  </sheetData>
  <mergeCells count="11">
    <mergeCell ref="AK6:AQ6"/>
    <mergeCell ref="AR6:AX6"/>
    <mergeCell ref="AY6:BA6"/>
    <mergeCell ref="BB6:BD6"/>
    <mergeCell ref="BG7:BH7"/>
    <mergeCell ref="AD6:AJ6"/>
    <mergeCell ref="C6:E6"/>
    <mergeCell ref="F6:H6"/>
    <mergeCell ref="I6:O6"/>
    <mergeCell ref="P6:V6"/>
    <mergeCell ref="W6:AC6"/>
  </mergeCells>
  <pageMargins left="0.75" right="0.75" top="0.75" bottom="0.75" header="0.5" footer="0.5"/>
  <pageSetup orientation="landscape" horizontalDpi="1200" verticalDpi="1200" r:id="rId1"/>
  <headerFooter alignWithMargins="0">
    <oddFooter>&amp;L&amp;"-,Regular"&amp;9&amp;Z&amp;F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O30"/>
  <sheetViews>
    <sheetView zoomScaleNormal="100" workbookViewId="0">
      <selection activeCell="K11" sqref="K11"/>
    </sheetView>
  </sheetViews>
  <sheetFormatPr defaultColWidth="7.109375" defaultRowHeight="15"/>
  <cols>
    <col min="1" max="1" width="7.109375" style="227" customWidth="1"/>
    <col min="2" max="2" width="10.88671875" style="227" customWidth="1"/>
    <col min="3" max="3" width="9.88671875" style="227" customWidth="1"/>
    <col min="4" max="4" width="9.44140625" style="227" customWidth="1"/>
    <col min="5" max="5" width="7.109375" style="227" customWidth="1"/>
    <col min="6" max="6" width="9.44140625" style="227" customWidth="1"/>
    <col min="7" max="7" width="11.88671875" style="227" customWidth="1"/>
    <col min="8" max="9" width="9.44140625" style="227" customWidth="1"/>
    <col min="10" max="10" width="10.33203125" style="227" customWidth="1"/>
    <col min="11" max="11" width="10.88671875" style="227" customWidth="1"/>
    <col min="12" max="12" width="11.33203125" style="227" customWidth="1"/>
    <col min="13" max="13" width="10.88671875" style="227" customWidth="1"/>
    <col min="14" max="14" width="9.21875" style="227" bestFit="1" customWidth="1"/>
    <col min="15" max="15" width="7.21875" style="227" bestFit="1" customWidth="1"/>
    <col min="16" max="16384" width="7.109375" style="227"/>
  </cols>
  <sheetData>
    <row r="1" spans="1:15" ht="15.75" customHeight="1">
      <c r="A1" s="226" t="str">
        <f>+'2016 Svcs &amp; Admin Allocation'!A1</f>
        <v>Grant Award: 2016 Older Americans Act Allocation</v>
      </c>
      <c r="B1" s="226"/>
      <c r="C1" s="226"/>
      <c r="D1" s="226"/>
      <c r="E1" s="226"/>
      <c r="F1" s="226"/>
      <c r="G1" s="226"/>
      <c r="H1" s="226"/>
      <c r="I1" s="226"/>
      <c r="J1" s="226"/>
      <c r="K1" s="226"/>
      <c r="L1" s="226"/>
      <c r="M1" s="226"/>
    </row>
    <row r="2" spans="1:15" ht="15.75" customHeight="1">
      <c r="A2" s="228" t="s">
        <v>226</v>
      </c>
      <c r="B2" s="228"/>
      <c r="C2" s="228"/>
      <c r="D2" s="228"/>
      <c r="E2" s="228"/>
      <c r="F2" s="228"/>
      <c r="G2" s="228"/>
      <c r="H2" s="228"/>
      <c r="I2" s="228"/>
      <c r="J2" s="228"/>
      <c r="K2" s="228"/>
      <c r="L2" s="228"/>
      <c r="M2" s="228"/>
    </row>
    <row r="3" spans="1:15" ht="15.75" customHeight="1">
      <c r="A3" s="228" t="str">
        <f>+'Summary by AAA'!A3</f>
        <v>Balance Allocated Using 2016 Population Projections (2000 Census)</v>
      </c>
      <c r="B3" s="228"/>
      <c r="C3" s="228"/>
      <c r="D3" s="228"/>
      <c r="E3" s="228"/>
      <c r="F3" s="228"/>
      <c r="G3" s="228"/>
      <c r="H3" s="228"/>
      <c r="I3" s="228"/>
      <c r="J3" s="228"/>
      <c r="K3" s="228"/>
      <c r="L3" s="228"/>
      <c r="M3" s="228"/>
    </row>
    <row r="4" spans="1:15" ht="15.75" customHeight="1">
      <c r="A4" s="229"/>
      <c r="B4" s="229"/>
      <c r="C4" s="229"/>
      <c r="D4" s="229"/>
      <c r="E4" s="229"/>
      <c r="F4" s="229"/>
      <c r="G4" s="229"/>
      <c r="H4" s="229"/>
      <c r="I4" s="229"/>
      <c r="J4" s="229"/>
      <c r="K4" s="229"/>
      <c r="L4" s="229"/>
      <c r="M4" s="229"/>
    </row>
    <row r="5" spans="1:15" ht="15.75" thickBot="1"/>
    <row r="6" spans="1:15" s="235" customFormat="1" ht="7.5" customHeight="1">
      <c r="A6" s="230"/>
      <c r="B6" s="231"/>
      <c r="C6" s="230"/>
      <c r="D6" s="230"/>
      <c r="E6" s="230"/>
      <c r="F6" s="230"/>
      <c r="G6" s="230"/>
      <c r="H6" s="230"/>
      <c r="I6" s="230"/>
      <c r="J6" s="230"/>
      <c r="K6" s="232"/>
      <c r="L6" s="232"/>
      <c r="M6" s="233"/>
    </row>
    <row r="7" spans="1:15" s="235" customFormat="1">
      <c r="A7" s="236"/>
      <c r="B7" s="237" t="s">
        <v>117</v>
      </c>
      <c r="C7" s="236" t="s">
        <v>227</v>
      </c>
      <c r="D7" s="236"/>
      <c r="E7" s="236" t="s">
        <v>118</v>
      </c>
      <c r="F7" s="236"/>
      <c r="G7" s="236" t="s">
        <v>228</v>
      </c>
      <c r="H7" s="236"/>
      <c r="I7" s="236"/>
      <c r="J7" s="238">
        <f>J27</f>
        <v>3034883.629999999</v>
      </c>
      <c r="K7" s="239" t="s">
        <v>1</v>
      </c>
      <c r="L7" s="239">
        <v>346998</v>
      </c>
      <c r="M7" s="240" t="s">
        <v>1</v>
      </c>
    </row>
    <row r="8" spans="1:15" s="235" customFormat="1">
      <c r="A8" s="236" t="s">
        <v>5</v>
      </c>
      <c r="B8" s="237" t="s">
        <v>119</v>
      </c>
      <c r="C8" s="236" t="s">
        <v>46</v>
      </c>
      <c r="D8" s="236" t="s">
        <v>120</v>
      </c>
      <c r="E8" s="236" t="s">
        <v>121</v>
      </c>
      <c r="F8" s="236" t="s">
        <v>122</v>
      </c>
      <c r="G8" s="236" t="s">
        <v>271</v>
      </c>
      <c r="H8" s="236" t="s">
        <v>122</v>
      </c>
      <c r="I8" s="236" t="s">
        <v>1</v>
      </c>
      <c r="J8" s="236" t="s">
        <v>123</v>
      </c>
      <c r="K8" s="241" t="s">
        <v>229</v>
      </c>
      <c r="L8" s="241" t="s">
        <v>230</v>
      </c>
      <c r="M8" s="242" t="s">
        <v>10</v>
      </c>
    </row>
    <row r="9" spans="1:15" s="235" customFormat="1">
      <c r="A9" s="236"/>
      <c r="B9" s="237" t="s">
        <v>124</v>
      </c>
      <c r="C9" s="236" t="s">
        <v>125</v>
      </c>
      <c r="D9" s="236" t="s">
        <v>126</v>
      </c>
      <c r="E9" s="236" t="s">
        <v>127</v>
      </c>
      <c r="F9" s="236" t="s">
        <v>126</v>
      </c>
      <c r="G9" s="236" t="s">
        <v>128</v>
      </c>
      <c r="H9" s="236" t="s">
        <v>126</v>
      </c>
      <c r="I9" s="236" t="s">
        <v>129</v>
      </c>
      <c r="J9" s="236" t="s">
        <v>130</v>
      </c>
      <c r="K9" s="241" t="s">
        <v>231</v>
      </c>
      <c r="L9" s="241" t="s">
        <v>231</v>
      </c>
      <c r="M9" s="242" t="s">
        <v>232</v>
      </c>
    </row>
    <row r="10" spans="1:15" s="235" customFormat="1" ht="7.5" customHeight="1" thickBot="1">
      <c r="A10" s="243"/>
      <c r="B10" s="244"/>
      <c r="C10" s="243"/>
      <c r="D10" s="243"/>
      <c r="E10" s="243"/>
      <c r="F10" s="243"/>
      <c r="G10" s="243"/>
      <c r="H10" s="243"/>
      <c r="I10" s="243"/>
      <c r="J10" s="243"/>
      <c r="K10" s="245"/>
      <c r="L10" s="245"/>
      <c r="M10" s="246"/>
    </row>
    <row r="11" spans="1:15" ht="24" customHeight="1">
      <c r="A11" s="247">
        <v>1</v>
      </c>
      <c r="B11" s="293">
        <f>IF(('2016 Svcs &amp; Admin Allocation'!X12*0.07)&lt;230000,230000,('2016 Svcs &amp; Admin Allocation'!X12*0.07))</f>
        <v>230000</v>
      </c>
      <c r="C11" s="248">
        <f>VLOOKUP(A11,'Pivot - Demographics'!$A$4:$F$15,2,0)</f>
        <v>158511.5964954971</v>
      </c>
      <c r="D11" s="249">
        <f t="shared" ref="D11:D21" si="0">SUM(C11/$C$22*0.5)</f>
        <v>1.5907936649263599E-2</v>
      </c>
      <c r="E11" s="250">
        <v>4</v>
      </c>
      <c r="F11" s="249">
        <f t="shared" ref="F11:F21" si="1">SUM(E11/$E$22*0.25)</f>
        <v>1.4925373134328358E-2</v>
      </c>
      <c r="G11" s="285">
        <v>1468396</v>
      </c>
      <c r="H11" s="249">
        <f t="shared" ref="H11:H21" si="2">SUM(G11/$G$22*0.25)</f>
        <v>7.3766692296525953E-3</v>
      </c>
      <c r="I11" s="249">
        <f t="shared" ref="I11:I21" si="3">D11+F11+H11</f>
        <v>3.8209979013244556E-2</v>
      </c>
      <c r="J11" s="285">
        <f>ROUND(I11*$J$7,0)</f>
        <v>115963</v>
      </c>
      <c r="K11" s="287">
        <f>ROUND(+B11+J11,0)-1</f>
        <v>345962</v>
      </c>
      <c r="L11" s="287">
        <f>ROUND($L$7*K11/$K$22,0)</f>
        <v>14570</v>
      </c>
      <c r="M11" s="288">
        <f>+K11+L11</f>
        <v>360532</v>
      </c>
      <c r="N11" s="235"/>
      <c r="O11" s="235"/>
    </row>
    <row r="12" spans="1:15" ht="24" customHeight="1">
      <c r="A12" s="247">
        <v>2</v>
      </c>
      <c r="B12" s="294">
        <f>IF(('2016 Svcs &amp; Admin Allocation'!X13*0.07)&lt;230000,230000,('2016 Svcs &amp; Admin Allocation'!X13*0.07))</f>
        <v>230000</v>
      </c>
      <c r="C12" s="248">
        <f>VLOOKUP(A12,'Pivot - Demographics'!$A$4:$F$15,2,0)</f>
        <v>153741.45074100568</v>
      </c>
      <c r="D12" s="249">
        <f t="shared" si="0"/>
        <v>1.5429213463402815E-2</v>
      </c>
      <c r="E12" s="250">
        <v>14</v>
      </c>
      <c r="F12" s="249">
        <f t="shared" si="1"/>
        <v>5.2238805970149252E-2</v>
      </c>
      <c r="G12" s="285">
        <v>1755850</v>
      </c>
      <c r="H12" s="249">
        <f t="shared" si="2"/>
        <v>8.8207300121258218E-3</v>
      </c>
      <c r="I12" s="249">
        <f t="shared" si="3"/>
        <v>7.6488749445677892E-2</v>
      </c>
      <c r="J12" s="285">
        <f t="shared" ref="J12:J21" si="4">ROUND(I12*$J$7,0)</f>
        <v>232134</v>
      </c>
      <c r="K12" s="287">
        <f t="shared" ref="K12:K20" si="5">ROUND(+B12+J12,0)</f>
        <v>462134</v>
      </c>
      <c r="L12" s="287">
        <f>ROUND($L$7*K12/$K$22,0)</f>
        <v>19462</v>
      </c>
      <c r="M12" s="288">
        <f t="shared" ref="M12:M21" si="6">+K12+L12</f>
        <v>481596</v>
      </c>
      <c r="N12" s="235"/>
      <c r="O12" s="235"/>
    </row>
    <row r="13" spans="1:15" ht="24" customHeight="1">
      <c r="A13" s="247">
        <v>3</v>
      </c>
      <c r="B13" s="294">
        <f>IF(('2016 Svcs &amp; Admin Allocation'!X14*0.07)&lt;230000,230000,('2016 Svcs &amp; Admin Allocation'!X14*0.07))</f>
        <v>496382.18000000005</v>
      </c>
      <c r="C13" s="248">
        <f>VLOOKUP(A13,'Pivot - Demographics'!$A$4:$F$15,2,0)</f>
        <v>538374.71852338873</v>
      </c>
      <c r="D13" s="249">
        <f t="shared" si="0"/>
        <v>5.4030311379006782E-2</v>
      </c>
      <c r="E13" s="250">
        <v>16</v>
      </c>
      <c r="F13" s="249">
        <f t="shared" si="1"/>
        <v>5.9701492537313432E-2</v>
      </c>
      <c r="G13" s="285">
        <v>4464127</v>
      </c>
      <c r="H13" s="249">
        <f t="shared" si="2"/>
        <v>2.2426095057573946E-2</v>
      </c>
      <c r="I13" s="249">
        <f t="shared" si="3"/>
        <v>0.13615789897389416</v>
      </c>
      <c r="J13" s="285">
        <f t="shared" si="4"/>
        <v>413223</v>
      </c>
      <c r="K13" s="287">
        <f t="shared" si="5"/>
        <v>909605</v>
      </c>
      <c r="L13" s="287">
        <f t="shared" ref="L13:L21" si="7">ROUND($L$7*K13/$K$22,0)</f>
        <v>38307</v>
      </c>
      <c r="M13" s="288">
        <f t="shared" si="6"/>
        <v>947912</v>
      </c>
      <c r="N13" s="235"/>
      <c r="O13" s="235"/>
    </row>
    <row r="14" spans="1:15" ht="24" customHeight="1">
      <c r="A14" s="247">
        <v>4</v>
      </c>
      <c r="B14" s="294">
        <f>IF(('2016 Svcs &amp; Admin Allocation'!X15*0.07)&lt;230000,230000,('2016 Svcs &amp; Admin Allocation'!X15*0.07))</f>
        <v>444010.63000000006</v>
      </c>
      <c r="C14" s="248">
        <f>VLOOKUP(A14,'Pivot - Demographics'!$A$4:$F$15,2,0)</f>
        <v>477801.99341133074</v>
      </c>
      <c r="D14" s="249">
        <f t="shared" si="0"/>
        <v>4.7951342426200548E-2</v>
      </c>
      <c r="E14" s="250">
        <v>7</v>
      </c>
      <c r="F14" s="249">
        <f t="shared" si="1"/>
        <v>2.6119402985074626E-2</v>
      </c>
      <c r="G14" s="285">
        <v>4806122</v>
      </c>
      <c r="H14" s="249">
        <f t="shared" si="2"/>
        <v>2.4144149310782917E-2</v>
      </c>
      <c r="I14" s="249">
        <f t="shared" si="3"/>
        <v>9.8214894722058091E-2</v>
      </c>
      <c r="J14" s="285">
        <f t="shared" si="4"/>
        <v>298071</v>
      </c>
      <c r="K14" s="287">
        <f t="shared" si="5"/>
        <v>742082</v>
      </c>
      <c r="L14" s="287">
        <f t="shared" si="7"/>
        <v>31252</v>
      </c>
      <c r="M14" s="288">
        <f t="shared" si="6"/>
        <v>773334</v>
      </c>
      <c r="N14" s="235"/>
      <c r="O14" s="235"/>
    </row>
    <row r="15" spans="1:15" ht="24" customHeight="1">
      <c r="A15" s="247">
        <v>5</v>
      </c>
      <c r="B15" s="294">
        <f>IF(('2016 Svcs &amp; Admin Allocation'!X16*0.07)&lt;230000,230000,('2016 Svcs &amp; Admin Allocation'!X16*0.07))</f>
        <v>408027.97000000003</v>
      </c>
      <c r="C15" s="248">
        <f>VLOOKUP(A15,'Pivot - Demographics'!$A$4:$F$15,2,0)</f>
        <v>429229.73493904428</v>
      </c>
      <c r="D15" s="249">
        <f t="shared" si="0"/>
        <v>4.3076718564149297E-2</v>
      </c>
      <c r="E15" s="250">
        <v>2</v>
      </c>
      <c r="F15" s="249">
        <f t="shared" si="1"/>
        <v>7.462686567164179E-3</v>
      </c>
      <c r="G15" s="285">
        <v>6303146</v>
      </c>
      <c r="H15" s="249">
        <f t="shared" si="2"/>
        <v>3.1664634845237821E-2</v>
      </c>
      <c r="I15" s="249">
        <f t="shared" si="3"/>
        <v>8.2204039976551291E-2</v>
      </c>
      <c r="J15" s="285">
        <f t="shared" si="4"/>
        <v>249480</v>
      </c>
      <c r="K15" s="287">
        <f t="shared" si="5"/>
        <v>657508</v>
      </c>
      <c r="L15" s="287">
        <f t="shared" si="7"/>
        <v>27690</v>
      </c>
      <c r="M15" s="288">
        <f t="shared" si="6"/>
        <v>685198</v>
      </c>
      <c r="N15" s="235"/>
      <c r="O15" s="235"/>
    </row>
    <row r="16" spans="1:15" ht="22.5" customHeight="1">
      <c r="A16" s="247">
        <v>6</v>
      </c>
      <c r="B16" s="294">
        <f>IF(('2016 Svcs &amp; Admin Allocation'!X17*0.07)&lt;230000,230000,('2016 Svcs &amp; Admin Allocation'!X17*0.07))</f>
        <v>571628.6100000001</v>
      </c>
      <c r="C16" s="248">
        <f>VLOOKUP(A16,'Pivot - Demographics'!$A$4:$F$15,2,0)</f>
        <v>566287.05011090799</v>
      </c>
      <c r="D16" s="249">
        <f t="shared" si="0"/>
        <v>5.6831542408435659E-2</v>
      </c>
      <c r="E16" s="250">
        <v>5</v>
      </c>
      <c r="F16" s="249">
        <f t="shared" si="1"/>
        <v>1.8656716417910446E-2</v>
      </c>
      <c r="G16" s="285">
        <v>5131842</v>
      </c>
      <c r="H16" s="249">
        <f t="shared" si="2"/>
        <v>2.5780444085137001E-2</v>
      </c>
      <c r="I16" s="249">
        <f t="shared" si="3"/>
        <v>0.1012687029114831</v>
      </c>
      <c r="J16" s="285">
        <f t="shared" si="4"/>
        <v>307339</v>
      </c>
      <c r="K16" s="287">
        <f t="shared" si="5"/>
        <v>878968</v>
      </c>
      <c r="L16" s="287">
        <f t="shared" si="7"/>
        <v>37016</v>
      </c>
      <c r="M16" s="288">
        <f t="shared" si="6"/>
        <v>915984</v>
      </c>
      <c r="N16" s="235"/>
      <c r="O16" s="235"/>
    </row>
    <row r="17" spans="1:15" ht="24" customHeight="1">
      <c r="A17" s="247">
        <v>7</v>
      </c>
      <c r="B17" s="294">
        <f>IF(('2016 Svcs &amp; Admin Allocation'!X18*0.07)&lt;230000,230000,('2016 Svcs &amp; Admin Allocation'!X18*0.07))</f>
        <v>431783.24000000005</v>
      </c>
      <c r="C17" s="248">
        <f>VLOOKUP(A17,'Pivot - Demographics'!$A$4:$F$15,2,0)</f>
        <v>502662.05347809574</v>
      </c>
      <c r="D17" s="249">
        <f t="shared" si="0"/>
        <v>5.0446253015598463E-2</v>
      </c>
      <c r="E17" s="250">
        <v>4</v>
      </c>
      <c r="F17" s="249">
        <f t="shared" si="1"/>
        <v>1.4925373134328358E-2</v>
      </c>
      <c r="G17" s="285">
        <v>4094635</v>
      </c>
      <c r="H17" s="249">
        <f t="shared" si="2"/>
        <v>2.0569906218185389E-2</v>
      </c>
      <c r="I17" s="249">
        <f t="shared" si="3"/>
        <v>8.5941532368112208E-2</v>
      </c>
      <c r="J17" s="285">
        <f t="shared" si="4"/>
        <v>260823</v>
      </c>
      <c r="K17" s="287">
        <f t="shared" si="5"/>
        <v>692606</v>
      </c>
      <c r="L17" s="287">
        <f t="shared" si="7"/>
        <v>29168</v>
      </c>
      <c r="M17" s="288">
        <f t="shared" si="6"/>
        <v>721774</v>
      </c>
      <c r="N17" s="235"/>
      <c r="O17" s="235"/>
    </row>
    <row r="18" spans="1:15" ht="24" customHeight="1">
      <c r="A18" s="247">
        <v>8</v>
      </c>
      <c r="B18" s="294">
        <f>IF(('2016 Svcs &amp; Admin Allocation'!X19*0.07)&lt;230000,230000,('2016 Svcs &amp; Admin Allocation'!X19*0.07))</f>
        <v>437786.09</v>
      </c>
      <c r="C18" s="248">
        <f>VLOOKUP(A18,'Pivot - Demographics'!$A$4:$F$15,2,0)</f>
        <v>585425.57582800812</v>
      </c>
      <c r="D18" s="249">
        <f t="shared" si="0"/>
        <v>5.8752250176189291E-2</v>
      </c>
      <c r="E18" s="250">
        <v>7</v>
      </c>
      <c r="F18" s="249">
        <f t="shared" si="1"/>
        <v>2.6119402985074626E-2</v>
      </c>
      <c r="G18" s="285">
        <v>4592750</v>
      </c>
      <c r="H18" s="249">
        <f t="shared" si="2"/>
        <v>2.3072248633534111E-2</v>
      </c>
      <c r="I18" s="249">
        <f t="shared" si="3"/>
        <v>0.10794390179479801</v>
      </c>
      <c r="J18" s="285">
        <f t="shared" si="4"/>
        <v>327597</v>
      </c>
      <c r="K18" s="287">
        <f t="shared" si="5"/>
        <v>765383</v>
      </c>
      <c r="L18" s="287">
        <f t="shared" si="7"/>
        <v>32233</v>
      </c>
      <c r="M18" s="288">
        <f t="shared" si="6"/>
        <v>797616</v>
      </c>
      <c r="N18" s="235"/>
      <c r="O18" s="235"/>
    </row>
    <row r="19" spans="1:15" ht="24" customHeight="1">
      <c r="A19" s="247">
        <v>9</v>
      </c>
      <c r="B19" s="294">
        <f>IF(('2016 Svcs &amp; Admin Allocation'!X20*0.07)&lt;230000,230000,('2016 Svcs &amp; Admin Allocation'!X20*0.07))</f>
        <v>522526.76000000007</v>
      </c>
      <c r="C19" s="248">
        <f>VLOOKUP(A19,'Pivot - Demographics'!$A$4:$F$15,2,0)</f>
        <v>596909.92835129658</v>
      </c>
      <c r="D19" s="249">
        <f t="shared" si="0"/>
        <v>5.9904798989256561E-2</v>
      </c>
      <c r="E19" s="250">
        <v>5</v>
      </c>
      <c r="F19" s="249">
        <f t="shared" si="1"/>
        <v>1.8656716417910446E-2</v>
      </c>
      <c r="G19" s="285">
        <v>4564687</v>
      </c>
      <c r="H19" s="249">
        <f t="shared" si="2"/>
        <v>2.2931270676231217E-2</v>
      </c>
      <c r="I19" s="249">
        <f t="shared" si="3"/>
        <v>0.10149278608339822</v>
      </c>
      <c r="J19" s="285">
        <f t="shared" si="4"/>
        <v>308019</v>
      </c>
      <c r="K19" s="287">
        <f t="shared" si="5"/>
        <v>830546</v>
      </c>
      <c r="L19" s="287">
        <f t="shared" si="7"/>
        <v>34977</v>
      </c>
      <c r="M19" s="288">
        <f t="shared" si="6"/>
        <v>865523</v>
      </c>
      <c r="N19" s="235"/>
      <c r="O19" s="235"/>
    </row>
    <row r="20" spans="1:15" ht="24" customHeight="1">
      <c r="A20" s="247">
        <v>10</v>
      </c>
      <c r="B20" s="294">
        <f>IF(('2016 Svcs &amp; Admin Allocation'!X21*0.07)&lt;230000,230000,('2016 Svcs &amp; Admin Allocation'!X21*0.07))</f>
        <v>435729.70000000007</v>
      </c>
      <c r="C20" s="248">
        <f>VLOOKUP(A20,'Pivot - Demographics'!$A$4:$F$15,2,0)</f>
        <v>401200.68067629344</v>
      </c>
      <c r="D20" s="249">
        <f t="shared" si="0"/>
        <v>4.0263773458500331E-2</v>
      </c>
      <c r="E20" s="250">
        <v>1</v>
      </c>
      <c r="F20" s="249">
        <f t="shared" si="1"/>
        <v>3.7313432835820895E-3</v>
      </c>
      <c r="G20" s="285">
        <v>5979167</v>
      </c>
      <c r="H20" s="249">
        <f t="shared" si="2"/>
        <v>3.0037086200081053E-2</v>
      </c>
      <c r="I20" s="249">
        <f t="shared" si="3"/>
        <v>7.4032202942163478E-2</v>
      </c>
      <c r="J20" s="285">
        <f t="shared" si="4"/>
        <v>224679</v>
      </c>
      <c r="K20" s="287">
        <f t="shared" si="5"/>
        <v>660409</v>
      </c>
      <c r="L20" s="287">
        <f t="shared" si="7"/>
        <v>27812</v>
      </c>
      <c r="M20" s="288">
        <f t="shared" si="6"/>
        <v>688221</v>
      </c>
      <c r="N20" s="235"/>
      <c r="O20" s="235"/>
    </row>
    <row r="21" spans="1:15" ht="24" customHeight="1">
      <c r="A21" s="247">
        <v>11</v>
      </c>
      <c r="B21" s="294">
        <f>IF(('2016 Svcs &amp; Admin Allocation'!X22*0.07)&lt;230000,230000,('2016 Svcs &amp; Admin Allocation'!X22*0.07))</f>
        <v>996815.19000000006</v>
      </c>
      <c r="C21" s="248">
        <f>VLOOKUP(A21,'Pivot - Demographics'!$A$4:$F$15,2,0)</f>
        <v>572009.72278240439</v>
      </c>
      <c r="D21" s="249">
        <f t="shared" si="0"/>
        <v>5.7405859469996656E-2</v>
      </c>
      <c r="E21" s="250">
        <v>2</v>
      </c>
      <c r="F21" s="249">
        <f t="shared" si="1"/>
        <v>7.462686567164179E-3</v>
      </c>
      <c r="G21" s="285">
        <v>6604150</v>
      </c>
      <c r="H21" s="249">
        <f t="shared" si="2"/>
        <v>3.3176765731458127E-2</v>
      </c>
      <c r="I21" s="249">
        <f t="shared" si="3"/>
        <v>9.8045311768618956E-2</v>
      </c>
      <c r="J21" s="285">
        <f t="shared" si="4"/>
        <v>297556</v>
      </c>
      <c r="K21" s="287">
        <f>ROUND(+B21+J21,0)</f>
        <v>1294371</v>
      </c>
      <c r="L21" s="287">
        <f t="shared" si="7"/>
        <v>54511</v>
      </c>
      <c r="M21" s="288">
        <f t="shared" si="6"/>
        <v>1348882</v>
      </c>
      <c r="N21" s="235"/>
      <c r="O21" s="235"/>
    </row>
    <row r="22" spans="1:15" s="235" customFormat="1" ht="27" customHeight="1" thickBot="1">
      <c r="A22" s="251" t="s">
        <v>1</v>
      </c>
      <c r="B22" s="284">
        <f t="shared" ref="B22:I22" si="8">SUM(B11:B21)</f>
        <v>5204690.370000001</v>
      </c>
      <c r="C22" s="252">
        <f t="shared" si="8"/>
        <v>4982154.5053372728</v>
      </c>
      <c r="D22" s="253">
        <f t="shared" si="8"/>
        <v>0.5</v>
      </c>
      <c r="E22" s="251">
        <f t="shared" si="8"/>
        <v>67</v>
      </c>
      <c r="F22" s="253">
        <f t="shared" si="8"/>
        <v>0.24999999999999997</v>
      </c>
      <c r="G22" s="286">
        <f t="shared" si="8"/>
        <v>49764872</v>
      </c>
      <c r="H22" s="253">
        <f t="shared" si="8"/>
        <v>0.25</v>
      </c>
      <c r="I22" s="253">
        <f t="shared" si="8"/>
        <v>0.99999999999999989</v>
      </c>
      <c r="J22" s="286">
        <f>SUM(J11:J21)</f>
        <v>3034884</v>
      </c>
      <c r="K22" s="289">
        <f>SUM(K11:K21)</f>
        <v>8239574</v>
      </c>
      <c r="L22" s="289">
        <f>SUM(L11:L21)</f>
        <v>346998</v>
      </c>
      <c r="M22" s="290">
        <f>SUM(M11:M21)</f>
        <v>8586572</v>
      </c>
    </row>
    <row r="23" spans="1:15" s="235" customFormat="1">
      <c r="A23" s="234"/>
      <c r="B23" s="254"/>
      <c r="C23" s="255"/>
      <c r="D23" s="256"/>
      <c r="F23" s="256"/>
      <c r="G23" s="254"/>
      <c r="H23" s="256"/>
      <c r="I23" s="256"/>
      <c r="J23" s="291"/>
      <c r="K23" s="292"/>
      <c r="L23" s="292"/>
      <c r="M23" s="292"/>
    </row>
    <row r="24" spans="1:15" s="235" customFormat="1">
      <c r="A24" s="234"/>
      <c r="B24" s="254"/>
      <c r="C24" s="255"/>
      <c r="D24" s="256"/>
      <c r="F24" s="256"/>
      <c r="G24" s="254"/>
      <c r="H24" s="256"/>
      <c r="I24" s="256"/>
      <c r="J24" s="254"/>
      <c r="K24" s="257"/>
      <c r="L24" s="257"/>
      <c r="M24" s="257"/>
    </row>
    <row r="25" spans="1:15" s="235" customFormat="1">
      <c r="A25" s="258" t="s">
        <v>135</v>
      </c>
      <c r="B25" s="227"/>
      <c r="C25" s="227"/>
      <c r="D25" s="227"/>
      <c r="E25" s="227"/>
      <c r="F25" s="227"/>
      <c r="G25" s="254"/>
      <c r="I25" s="259" t="s">
        <v>273</v>
      </c>
      <c r="J25" s="260">
        <f>+'2016 Award #2'!B23</f>
        <v>8239574</v>
      </c>
      <c r="K25" s="261">
        <f>+J25</f>
        <v>8239574</v>
      </c>
      <c r="L25" s="261">
        <f>+L7</f>
        <v>346998</v>
      </c>
      <c r="M25" s="261">
        <f>+K25+L25</f>
        <v>8586572</v>
      </c>
    </row>
    <row r="26" spans="1:15">
      <c r="A26" s="258" t="s">
        <v>131</v>
      </c>
      <c r="B26" s="227" t="s">
        <v>274</v>
      </c>
      <c r="I26" s="227" t="s">
        <v>233</v>
      </c>
      <c r="J26" s="262">
        <f>+B22</f>
        <v>5204690.370000001</v>
      </c>
      <c r="K26" s="262">
        <f>+K22</f>
        <v>8239574</v>
      </c>
      <c r="L26" s="262">
        <f>+L22</f>
        <v>346998</v>
      </c>
      <c r="M26" s="262">
        <f>+M22</f>
        <v>8586572</v>
      </c>
    </row>
    <row r="27" spans="1:15">
      <c r="A27" s="258" t="s">
        <v>132</v>
      </c>
      <c r="B27" s="227" t="s">
        <v>133</v>
      </c>
      <c r="I27" s="227" t="s">
        <v>29</v>
      </c>
      <c r="J27" s="260">
        <f>+J25-J26</f>
        <v>3034883.629999999</v>
      </c>
      <c r="K27" s="260">
        <f>+K25-K26</f>
        <v>0</v>
      </c>
      <c r="L27" s="260">
        <f>+L25-L26</f>
        <v>0</v>
      </c>
      <c r="M27" s="260">
        <f>+M25-M26</f>
        <v>0</v>
      </c>
    </row>
    <row r="28" spans="1:15">
      <c r="J28" s="263"/>
      <c r="K28" s="263"/>
      <c r="L28" s="263"/>
      <c r="M28" s="263"/>
    </row>
    <row r="29" spans="1:15">
      <c r="K29" s="263"/>
      <c r="L29" s="263"/>
      <c r="M29" s="263"/>
    </row>
    <row r="30" spans="1:15">
      <c r="A30" s="235"/>
    </row>
  </sheetData>
  <pageMargins left="0.45" right="0.45" top="0.75" bottom="0.75" header="0.3" footer="0.3"/>
  <pageSetup scale="84" fitToHeight="0" orientation="landscape" r:id="rId1"/>
  <headerFooter>
    <oddFooter>&amp;C&amp;11Page &amp;P of &amp;N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3:F16"/>
  <sheetViews>
    <sheetView workbookViewId="0">
      <selection activeCell="B7" sqref="B7"/>
    </sheetView>
  </sheetViews>
  <sheetFormatPr defaultRowHeight="15"/>
  <cols>
    <col min="1" max="1" width="8.77734375" style="5" customWidth="1"/>
    <col min="2" max="2" width="16.21875" style="5" bestFit="1" customWidth="1"/>
    <col min="3" max="3" width="16.44140625" style="5" bestFit="1" customWidth="1"/>
    <col min="4" max="4" width="15.77734375" style="5" bestFit="1" customWidth="1"/>
    <col min="5" max="5" width="14" style="5" bestFit="1" customWidth="1"/>
    <col min="6" max="6" width="18.21875" style="2" customWidth="1"/>
    <col min="7" max="16384" width="8.88671875" style="2"/>
  </cols>
  <sheetData>
    <row r="3" spans="1:6">
      <c r="B3" s="7" t="s">
        <v>113</v>
      </c>
      <c r="F3" s="91"/>
    </row>
    <row r="4" spans="1:6" s="3" customFormat="1" ht="45">
      <c r="A4" s="6" t="s">
        <v>5</v>
      </c>
      <c r="B4" s="4" t="s">
        <v>143</v>
      </c>
      <c r="C4" s="4" t="s">
        <v>144</v>
      </c>
      <c r="D4" s="4" t="s">
        <v>145</v>
      </c>
      <c r="E4" s="4" t="s">
        <v>242</v>
      </c>
      <c r="F4" s="92" t="s">
        <v>115</v>
      </c>
    </row>
    <row r="5" spans="1:6">
      <c r="A5" s="5">
        <v>1</v>
      </c>
      <c r="B5" s="8">
        <v>158511.5964954971</v>
      </c>
      <c r="C5" s="8">
        <v>12675.945591439891</v>
      </c>
      <c r="D5" s="8">
        <v>5007.675889418746</v>
      </c>
      <c r="E5" s="8">
        <v>28821.503175912647</v>
      </c>
      <c r="F5" s="93">
        <f>(B5/B$16)*0.35+(C5/C$16)*0.35+(D5/D$16)*0.15+(E5/E$16)*0.15</f>
        <v>2.7102939659980344E-2</v>
      </c>
    </row>
    <row r="6" spans="1:6">
      <c r="A6" s="5">
        <v>2</v>
      </c>
      <c r="B6" s="8">
        <v>153741.45074100568</v>
      </c>
      <c r="C6" s="8">
        <v>15386.333380120306</v>
      </c>
      <c r="D6" s="8">
        <v>7845.2658054055582</v>
      </c>
      <c r="E6" s="8">
        <v>30172.561373380533</v>
      </c>
      <c r="F6" s="93">
        <f t="shared" ref="F6:F15" si="0">(B6/B$16)*0.35+(C6/C$16)*0.35+(D6/D$16)*0.15+(E6/E$16)*0.15</f>
        <v>3.0036294662851966E-2</v>
      </c>
    </row>
    <row r="7" spans="1:6">
      <c r="A7" s="5">
        <v>3</v>
      </c>
      <c r="B7" s="8">
        <v>538374.71852338873</v>
      </c>
      <c r="C7" s="8">
        <v>47280.370187118409</v>
      </c>
      <c r="D7" s="8">
        <v>14751.187957392982</v>
      </c>
      <c r="E7" s="8">
        <v>84740.521474913301</v>
      </c>
      <c r="F7" s="93">
        <f t="shared" si="0"/>
        <v>9.1418471446452182E-2</v>
      </c>
    </row>
    <row r="8" spans="1:6">
      <c r="A8" s="5">
        <v>4</v>
      </c>
      <c r="B8" s="8">
        <v>477801.99341133074</v>
      </c>
      <c r="C8" s="8">
        <v>43230.818453539607</v>
      </c>
      <c r="D8" s="8">
        <v>19671.106864889392</v>
      </c>
      <c r="E8" s="8">
        <v>78024.99462150273</v>
      </c>
      <c r="F8" s="93">
        <f t="shared" si="0"/>
        <v>8.5327296727986141E-2</v>
      </c>
    </row>
    <row r="9" spans="1:6">
      <c r="A9" s="5">
        <v>5</v>
      </c>
      <c r="B9" s="8">
        <v>429229.73493904428</v>
      </c>
      <c r="C9" s="8">
        <v>41247.288581441477</v>
      </c>
      <c r="D9" s="8">
        <v>10934.325771477488</v>
      </c>
      <c r="E9" s="8">
        <v>68387.62918148395</v>
      </c>
      <c r="F9" s="93">
        <f t="shared" si="0"/>
        <v>7.5041348295882521E-2</v>
      </c>
    </row>
    <row r="10" spans="1:6">
      <c r="A10" s="5">
        <v>6</v>
      </c>
      <c r="B10" s="8">
        <v>566287.05011090799</v>
      </c>
      <c r="C10" s="8">
        <v>58256.478428773546</v>
      </c>
      <c r="D10" s="8">
        <v>33256.006003852141</v>
      </c>
      <c r="E10" s="8">
        <v>92370.796055372804</v>
      </c>
      <c r="F10" s="93">
        <f t="shared" si="0"/>
        <v>0.11002993726698779</v>
      </c>
    </row>
    <row r="11" spans="1:6">
      <c r="A11" s="5">
        <v>7</v>
      </c>
      <c r="B11" s="8">
        <v>502662.05347809574</v>
      </c>
      <c r="C11" s="8">
        <v>46596.642332481155</v>
      </c>
      <c r="D11" s="8">
        <v>35429.972974805911</v>
      </c>
      <c r="E11" s="8">
        <v>81446.474915801038</v>
      </c>
      <c r="F11" s="93">
        <f t="shared" si="0"/>
        <v>9.6709231934775916E-2</v>
      </c>
    </row>
    <row r="12" spans="1:6">
      <c r="A12" s="5">
        <v>8</v>
      </c>
      <c r="B12" s="8">
        <v>585425.57582800812</v>
      </c>
      <c r="C12" s="8">
        <v>43720.811489258267</v>
      </c>
      <c r="D12" s="8">
        <v>15390.485849240831</v>
      </c>
      <c r="E12" s="8">
        <v>74653.851474668496</v>
      </c>
      <c r="F12" s="93">
        <f t="shared" si="0"/>
        <v>9.0743193063624994E-2</v>
      </c>
    </row>
    <row r="13" spans="1:6">
      <c r="A13" s="5">
        <v>9</v>
      </c>
      <c r="B13" s="8">
        <v>596909.92835129658</v>
      </c>
      <c r="C13" s="8">
        <v>52637.804639451831</v>
      </c>
      <c r="D13" s="8">
        <v>25436.132159227087</v>
      </c>
      <c r="E13" s="8">
        <v>85098.462859243344</v>
      </c>
      <c r="F13" s="93">
        <f t="shared" si="0"/>
        <v>0.10373455246450231</v>
      </c>
    </row>
    <row r="14" spans="1:6">
      <c r="A14" s="5">
        <v>10</v>
      </c>
      <c r="B14" s="8">
        <v>401200.68067629344</v>
      </c>
      <c r="C14" s="8">
        <v>51046.137239331278</v>
      </c>
      <c r="D14" s="8">
        <v>38821.268677798384</v>
      </c>
      <c r="E14" s="8">
        <v>70532.61630884622</v>
      </c>
      <c r="F14" s="93">
        <f t="shared" si="0"/>
        <v>9.1937123790301487E-2</v>
      </c>
    </row>
    <row r="15" spans="1:6">
      <c r="A15" s="5">
        <v>11</v>
      </c>
      <c r="B15" s="8">
        <v>572009.72278240439</v>
      </c>
      <c r="C15" s="8">
        <v>115730.15940382925</v>
      </c>
      <c r="D15" s="8">
        <v>143087.61260811114</v>
      </c>
      <c r="E15" s="8">
        <v>104378.99527500033</v>
      </c>
      <c r="F15" s="93">
        <f t="shared" si="0"/>
        <v>0.19791961068665434</v>
      </c>
    </row>
    <row r="16" spans="1:6">
      <c r="A16" s="5" t="s">
        <v>114</v>
      </c>
      <c r="B16" s="8">
        <v>4982154.5053372728</v>
      </c>
      <c r="C16" s="8">
        <v>527808.78972678492</v>
      </c>
      <c r="D16" s="8">
        <v>349631.04056161968</v>
      </c>
      <c r="E16" s="8">
        <v>798628.40671612555</v>
      </c>
      <c r="F16" s="94">
        <f>SUM(F5:F15)</f>
        <v>1</v>
      </c>
    </row>
  </sheetData>
  <pageMargins left="0.45" right="0.45" top="0.75" bottom="0.75" header="0.3" footer="0.3"/>
  <pageSetup fitToHeight="0" orientation="landscape" r:id="rId2"/>
  <headerFooter>
    <oddFooter>&amp;C&amp;11Page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>
    <pageSetUpPr fitToPage="1"/>
  </sheetPr>
  <dimension ref="A1:CH79"/>
  <sheetViews>
    <sheetView workbookViewId="0">
      <pane ySplit="3" topLeftCell="A4" activePane="bottomLeft" state="frozen"/>
      <selection activeCell="A29" sqref="A29"/>
      <selection pane="bottomLeft" activeCell="F9" sqref="F9"/>
    </sheetView>
  </sheetViews>
  <sheetFormatPr defaultRowHeight="15"/>
  <cols>
    <col min="1" max="1" width="7.44140625" style="337" customWidth="1"/>
    <col min="2" max="2" width="10.21875" style="337" customWidth="1"/>
    <col min="3" max="3" width="10.44140625" style="337" bestFit="1" customWidth="1"/>
    <col min="4" max="5" width="10" style="337" customWidth="1"/>
    <col min="6" max="6" width="11.88671875" style="337" customWidth="1"/>
    <col min="7" max="7" width="2.6640625" style="339" customWidth="1"/>
    <col min="8" max="82" width="8.88671875" style="339"/>
    <col min="83" max="16384" width="8.88671875" style="337"/>
  </cols>
  <sheetData>
    <row r="1" spans="1:86">
      <c r="A1" s="420" t="s">
        <v>275</v>
      </c>
      <c r="B1" s="420"/>
      <c r="C1" s="420"/>
      <c r="D1" s="420"/>
      <c r="E1" s="420"/>
      <c r="F1" s="420"/>
    </row>
    <row r="2" spans="1:86">
      <c r="A2" s="421" t="s">
        <v>276</v>
      </c>
      <c r="B2" s="421"/>
      <c r="C2" s="421"/>
      <c r="D2" s="421"/>
      <c r="E2" s="421"/>
      <c r="F2" s="421"/>
    </row>
    <row r="3" spans="1:86" ht="75">
      <c r="A3" s="306" t="s">
        <v>5</v>
      </c>
      <c r="B3" s="307" t="s">
        <v>45</v>
      </c>
      <c r="C3" s="308" t="s">
        <v>140</v>
      </c>
      <c r="D3" s="1" t="s">
        <v>141</v>
      </c>
      <c r="E3" s="1" t="s">
        <v>142</v>
      </c>
      <c r="F3" s="308" t="s">
        <v>237</v>
      </c>
      <c r="H3" s="337"/>
      <c r="I3" s="337"/>
    </row>
    <row r="4" spans="1:86">
      <c r="A4" s="341">
        <v>1</v>
      </c>
      <c r="B4" s="340" t="s">
        <v>47</v>
      </c>
      <c r="C4" s="335">
        <v>69356.22618611707</v>
      </c>
      <c r="D4" s="334">
        <v>6360.9476678215196</v>
      </c>
      <c r="E4" s="335">
        <v>3836.3074747874848</v>
      </c>
      <c r="F4" s="335">
        <v>13622.32662800087</v>
      </c>
    </row>
    <row r="5" spans="1:86">
      <c r="A5" s="341">
        <v>1</v>
      </c>
      <c r="B5" s="340" t="s">
        <v>48</v>
      </c>
      <c r="C5" s="335">
        <v>41149.078768405292</v>
      </c>
      <c r="D5" s="334">
        <v>2484.5342474594759</v>
      </c>
      <c r="E5" s="335">
        <v>659.81088688216983</v>
      </c>
      <c r="F5" s="335">
        <v>6932.5387082717834</v>
      </c>
    </row>
    <row r="6" spans="1:86">
      <c r="A6" s="341">
        <v>1</v>
      </c>
      <c r="B6" s="340" t="s">
        <v>49</v>
      </c>
      <c r="C6" s="335">
        <v>33119.549955298644</v>
      </c>
      <c r="D6" s="334">
        <v>2360.7177204979084</v>
      </c>
      <c r="E6" s="335">
        <v>318.59647640181345</v>
      </c>
      <c r="F6" s="335">
        <v>5681.5487005644936</v>
      </c>
    </row>
    <row r="7" spans="1:86">
      <c r="A7" s="341">
        <v>1</v>
      </c>
      <c r="B7" s="340" t="s">
        <v>50</v>
      </c>
      <c r="C7" s="335">
        <v>14886.74158567608</v>
      </c>
      <c r="D7" s="334">
        <v>1469.7459556609858</v>
      </c>
      <c r="E7" s="335">
        <v>192.96105134727836</v>
      </c>
      <c r="F7" s="335">
        <v>2585.0891390754991</v>
      </c>
    </row>
    <row r="8" spans="1:86">
      <c r="A8" s="341">
        <v>2</v>
      </c>
      <c r="B8" s="340" t="s">
        <v>51</v>
      </c>
      <c r="C8" s="335">
        <v>38838.50286072032</v>
      </c>
      <c r="D8" s="334">
        <v>3511.2486283552616</v>
      </c>
      <c r="E8" s="335">
        <v>1237.4838786060882</v>
      </c>
      <c r="F8" s="335">
        <v>7642.7600180927684</v>
      </c>
    </row>
    <row r="9" spans="1:86">
      <c r="A9" s="341">
        <v>2</v>
      </c>
      <c r="B9" s="340" t="s">
        <v>52</v>
      </c>
      <c r="C9" s="335">
        <v>3355.7738707245185</v>
      </c>
      <c r="D9" s="334">
        <v>471.96691341001508</v>
      </c>
      <c r="E9" s="335">
        <v>161.30991407165928</v>
      </c>
      <c r="F9" s="335">
        <v>941.87266623696564</v>
      </c>
    </row>
    <row r="10" spans="1:86">
      <c r="A10" s="341">
        <v>2</v>
      </c>
      <c r="B10" s="340" t="s">
        <v>53</v>
      </c>
      <c r="C10" s="335">
        <v>3189.9223235393451</v>
      </c>
      <c r="D10" s="334">
        <v>431.06266652712867</v>
      </c>
      <c r="E10" s="335">
        <v>44.271843489168774</v>
      </c>
      <c r="F10" s="335">
        <v>878.38440793112397</v>
      </c>
    </row>
    <row r="11" spans="1:86">
      <c r="A11" s="341">
        <v>2</v>
      </c>
      <c r="B11" s="340" t="s">
        <v>54</v>
      </c>
      <c r="C11" s="335">
        <v>10725.010856079405</v>
      </c>
      <c r="D11" s="334">
        <v>1745.081647461695</v>
      </c>
      <c r="E11" s="335">
        <v>1644.6086822336219</v>
      </c>
      <c r="F11" s="335">
        <v>2024.0136460076053</v>
      </c>
    </row>
    <row r="12" spans="1:86">
      <c r="A12" s="341">
        <v>2</v>
      </c>
      <c r="B12" s="340" t="s">
        <v>55</v>
      </c>
      <c r="C12" s="335">
        <v>4153.04570494582</v>
      </c>
      <c r="D12" s="334">
        <v>425.62357230252206</v>
      </c>
      <c r="E12" s="335">
        <v>100.17234797076291</v>
      </c>
      <c r="F12" s="335">
        <v>898.28840432902177</v>
      </c>
    </row>
    <row r="13" spans="1:86">
      <c r="A13" s="341">
        <v>2</v>
      </c>
      <c r="B13" s="340" t="s">
        <v>56</v>
      </c>
      <c r="C13" s="335">
        <v>5108.847564013151</v>
      </c>
      <c r="D13" s="334">
        <v>787.58644346987035</v>
      </c>
      <c r="E13" s="335">
        <v>49.822208704984448</v>
      </c>
      <c r="F13" s="335">
        <v>1410.2547963161303</v>
      </c>
    </row>
    <row r="14" spans="1:86">
      <c r="A14" s="341">
        <v>2</v>
      </c>
      <c r="B14" s="340" t="s">
        <v>57</v>
      </c>
      <c r="C14" s="335">
        <v>12181.246382572746</v>
      </c>
      <c r="D14" s="334">
        <v>1668.0783298937372</v>
      </c>
      <c r="E14" s="335">
        <v>775.48804793622264</v>
      </c>
      <c r="F14" s="335">
        <v>2778.9020263771563</v>
      </c>
    </row>
    <row r="15" spans="1:86" s="339" customFormat="1">
      <c r="A15" s="341">
        <v>2</v>
      </c>
      <c r="B15" s="340" t="s">
        <v>58</v>
      </c>
      <c r="C15" s="335">
        <v>4037.0723787434335</v>
      </c>
      <c r="D15" s="334">
        <v>301.41831828057968</v>
      </c>
      <c r="E15" s="335">
        <v>236.06699278709223</v>
      </c>
      <c r="F15" s="335">
        <v>701.08348111318674</v>
      </c>
      <c r="CE15" s="337"/>
      <c r="CF15" s="337"/>
      <c r="CG15" s="337"/>
      <c r="CH15" s="337"/>
    </row>
    <row r="16" spans="1:86" s="339" customFormat="1">
      <c r="A16" s="341">
        <v>2</v>
      </c>
      <c r="B16" s="340" t="s">
        <v>59</v>
      </c>
      <c r="C16" s="335">
        <v>48546.58872602856</v>
      </c>
      <c r="D16" s="334">
        <v>3484.4218937616929</v>
      </c>
      <c r="E16" s="335">
        <v>2819.1143117589017</v>
      </c>
      <c r="F16" s="335">
        <v>7047.1826922547361</v>
      </c>
      <c r="CE16" s="337"/>
      <c r="CF16" s="337"/>
      <c r="CG16" s="337"/>
      <c r="CH16" s="337"/>
    </row>
    <row r="17" spans="1:86" s="339" customFormat="1">
      <c r="A17" s="341">
        <v>2</v>
      </c>
      <c r="B17" s="340" t="s">
        <v>60</v>
      </c>
      <c r="C17" s="335">
        <v>1474.1188755020082</v>
      </c>
      <c r="D17" s="334">
        <v>195.07249672130024</v>
      </c>
      <c r="E17" s="335">
        <v>69.500907740551327</v>
      </c>
      <c r="F17" s="335">
        <v>353.52172127423728</v>
      </c>
      <c r="CE17" s="337"/>
      <c r="CF17" s="337"/>
      <c r="CG17" s="337"/>
      <c r="CH17" s="337"/>
    </row>
    <row r="18" spans="1:86" s="339" customFormat="1">
      <c r="A18" s="341">
        <v>2</v>
      </c>
      <c r="B18" s="340" t="s">
        <v>61</v>
      </c>
      <c r="C18" s="335">
        <v>4792.2961428941235</v>
      </c>
      <c r="D18" s="334">
        <v>658.90772116631115</v>
      </c>
      <c r="E18" s="335">
        <v>274.58602731799419</v>
      </c>
      <c r="F18" s="335">
        <v>1212.1690243791018</v>
      </c>
      <c r="CE18" s="337"/>
      <c r="CF18" s="337"/>
      <c r="CG18" s="337"/>
      <c r="CH18" s="337"/>
    </row>
    <row r="19" spans="1:86" s="339" customFormat="1">
      <c r="A19" s="341">
        <v>2</v>
      </c>
      <c r="B19" s="340" t="s">
        <v>62</v>
      </c>
      <c r="C19" s="335">
        <v>5746.4786525656091</v>
      </c>
      <c r="D19" s="334">
        <v>593.52459298069675</v>
      </c>
      <c r="E19" s="335">
        <v>196.79610493416672</v>
      </c>
      <c r="F19" s="335">
        <v>1622.2116770400521</v>
      </c>
      <c r="CE19" s="337"/>
      <c r="CF19" s="337"/>
      <c r="CG19" s="337"/>
      <c r="CH19" s="337"/>
    </row>
    <row r="20" spans="1:86" s="339" customFormat="1">
      <c r="A20" s="341">
        <v>2</v>
      </c>
      <c r="B20" s="340" t="s">
        <v>63</v>
      </c>
      <c r="C20" s="335">
        <v>5902.1904489744084</v>
      </c>
      <c r="D20" s="334">
        <v>455.21921644171118</v>
      </c>
      <c r="E20" s="335">
        <v>72.004393888978569</v>
      </c>
      <c r="F20" s="335">
        <v>1264.7550962088017</v>
      </c>
      <c r="CE20" s="337"/>
      <c r="CF20" s="337"/>
      <c r="CG20" s="337"/>
      <c r="CH20" s="337"/>
    </row>
    <row r="21" spans="1:86" s="339" customFormat="1">
      <c r="A21" s="341">
        <v>2</v>
      </c>
      <c r="B21" s="340" t="s">
        <v>64</v>
      </c>
      <c r="C21" s="335">
        <v>5690.3559537022356</v>
      </c>
      <c r="D21" s="334">
        <v>657.12093934778136</v>
      </c>
      <c r="E21" s="335">
        <v>164.04014396536485</v>
      </c>
      <c r="F21" s="335">
        <v>1397.1617158196459</v>
      </c>
      <c r="CE21" s="337"/>
      <c r="CF21" s="337"/>
      <c r="CG21" s="337"/>
      <c r="CH21" s="337"/>
    </row>
    <row r="22" spans="1:86" s="339" customFormat="1">
      <c r="A22" s="341">
        <v>3</v>
      </c>
      <c r="B22" s="340" t="s">
        <v>65</v>
      </c>
      <c r="C22" s="335">
        <v>47781.866290643666</v>
      </c>
      <c r="D22" s="334">
        <v>4972.694332493098</v>
      </c>
      <c r="E22" s="335">
        <v>2664.75935934994</v>
      </c>
      <c r="F22" s="335">
        <v>8102.8378685509524</v>
      </c>
      <c r="CE22" s="337"/>
      <c r="CF22" s="337"/>
      <c r="CG22" s="337"/>
      <c r="CH22" s="337"/>
    </row>
    <row r="23" spans="1:86" s="339" customFormat="1">
      <c r="A23" s="341">
        <v>3</v>
      </c>
      <c r="B23" s="340" t="s">
        <v>66</v>
      </c>
      <c r="C23" s="335">
        <v>6402.5108569774175</v>
      </c>
      <c r="D23" s="334">
        <v>1015.0481254656057</v>
      </c>
      <c r="E23" s="335">
        <v>397.02352564883989</v>
      </c>
      <c r="F23" s="335">
        <v>1617.476427025874</v>
      </c>
      <c r="CE23" s="337"/>
      <c r="CF23" s="337"/>
      <c r="CG23" s="337"/>
      <c r="CH23" s="337"/>
    </row>
    <row r="24" spans="1:86" s="339" customFormat="1">
      <c r="A24" s="341">
        <v>3</v>
      </c>
      <c r="B24" s="340" t="s">
        <v>67</v>
      </c>
      <c r="C24" s="335">
        <v>59672.470985856169</v>
      </c>
      <c r="D24" s="334">
        <v>5240.8291129713371</v>
      </c>
      <c r="E24" s="335">
        <v>462.26404616889806</v>
      </c>
      <c r="F24" s="335">
        <v>9037.3599956881626</v>
      </c>
      <c r="CE24" s="337"/>
      <c r="CF24" s="337"/>
      <c r="CG24" s="337"/>
      <c r="CH24" s="337"/>
    </row>
    <row r="25" spans="1:86" s="339" customFormat="1">
      <c r="A25" s="341">
        <v>3</v>
      </c>
      <c r="B25" s="340" t="s">
        <v>68</v>
      </c>
      <c r="C25" s="335">
        <v>16298.829284700996</v>
      </c>
      <c r="D25" s="334">
        <v>1484.9315031827409</v>
      </c>
      <c r="E25" s="335">
        <v>564.66605364376915</v>
      </c>
      <c r="F25" s="335">
        <v>3923.5849342635297</v>
      </c>
      <c r="CE25" s="337"/>
      <c r="CF25" s="337"/>
      <c r="CG25" s="337"/>
      <c r="CH25" s="337"/>
    </row>
    <row r="26" spans="1:86" s="339" customFormat="1">
      <c r="A26" s="341">
        <v>3</v>
      </c>
      <c r="B26" s="340" t="s">
        <v>69</v>
      </c>
      <c r="C26" s="335">
        <v>4786.495309117151</v>
      </c>
      <c r="D26" s="334">
        <v>504.72734671781853</v>
      </c>
      <c r="E26" s="335">
        <v>62.555931879607506</v>
      </c>
      <c r="F26" s="335">
        <v>1344.7772535138663</v>
      </c>
      <c r="CE26" s="337"/>
      <c r="CF26" s="337"/>
      <c r="CG26" s="337"/>
      <c r="CH26" s="337"/>
    </row>
    <row r="27" spans="1:86" s="339" customFormat="1">
      <c r="A27" s="341">
        <v>3</v>
      </c>
      <c r="B27" s="340" t="s">
        <v>70</v>
      </c>
      <c r="C27" s="335">
        <v>4511.1408775981527</v>
      </c>
      <c r="D27" s="334">
        <v>683.6286249771041</v>
      </c>
      <c r="E27" s="335">
        <v>32.626159130608123</v>
      </c>
      <c r="F27" s="335">
        <v>1106.9260599778452</v>
      </c>
      <c r="CE27" s="337"/>
      <c r="CF27" s="337"/>
      <c r="CG27" s="337"/>
      <c r="CH27" s="337"/>
    </row>
    <row r="28" spans="1:86" s="339" customFormat="1">
      <c r="A28" s="341">
        <v>3</v>
      </c>
      <c r="B28" s="340" t="s">
        <v>71</v>
      </c>
      <c r="C28" s="335">
        <v>3351.0614869024002</v>
      </c>
      <c r="D28" s="334">
        <v>467.52729956664803</v>
      </c>
      <c r="E28" s="335">
        <v>402.33654728180744</v>
      </c>
      <c r="F28" s="335">
        <v>898.51395685915963</v>
      </c>
      <c r="CE28" s="337"/>
      <c r="CF28" s="337"/>
      <c r="CG28" s="337"/>
      <c r="CH28" s="337"/>
    </row>
    <row r="29" spans="1:86" s="339" customFormat="1">
      <c r="A29" s="341">
        <v>3</v>
      </c>
      <c r="B29" s="340" t="s">
        <v>72</v>
      </c>
      <c r="C29" s="335">
        <v>60151.627710632732</v>
      </c>
      <c r="D29" s="334">
        <v>4251.0429993185262</v>
      </c>
      <c r="E29" s="335">
        <v>1106.1897760313354</v>
      </c>
      <c r="F29" s="335">
        <v>9997.4426347651206</v>
      </c>
      <c r="CE29" s="337"/>
      <c r="CF29" s="337"/>
      <c r="CG29" s="337"/>
      <c r="CH29" s="337"/>
    </row>
    <row r="30" spans="1:86" s="339" customFormat="1">
      <c r="A30" s="341">
        <v>3</v>
      </c>
      <c r="B30" s="340" t="s">
        <v>73</v>
      </c>
      <c r="C30" s="335">
        <v>1671.3898382842071</v>
      </c>
      <c r="D30" s="334">
        <v>238.22966355261661</v>
      </c>
      <c r="E30" s="335">
        <v>33.796612761402379</v>
      </c>
      <c r="F30" s="335">
        <v>465.79716804641834</v>
      </c>
      <c r="CE30" s="337"/>
      <c r="CF30" s="337"/>
      <c r="CG30" s="337"/>
      <c r="CH30" s="337"/>
    </row>
    <row r="31" spans="1:86" s="339" customFormat="1">
      <c r="A31" s="341">
        <v>3</v>
      </c>
      <c r="B31" s="340" t="s">
        <v>74</v>
      </c>
      <c r="C31" s="335">
        <v>100800.00535091342</v>
      </c>
      <c r="D31" s="334">
        <v>7291.6594310113123</v>
      </c>
      <c r="E31" s="335">
        <v>2522.7186029885547</v>
      </c>
      <c r="F31" s="335">
        <v>14100.366079160971</v>
      </c>
      <c r="CE31" s="337"/>
      <c r="CF31" s="337"/>
      <c r="CG31" s="337"/>
      <c r="CH31" s="337"/>
    </row>
    <row r="32" spans="1:86" s="339" customFormat="1">
      <c r="A32" s="341">
        <v>3</v>
      </c>
      <c r="B32" s="340" t="s">
        <v>75</v>
      </c>
      <c r="C32" s="335">
        <v>11850.709319726222</v>
      </c>
      <c r="D32" s="334">
        <v>1297.5531185256234</v>
      </c>
      <c r="E32" s="335">
        <v>339.7603140622428</v>
      </c>
      <c r="F32" s="335">
        <v>2428.7296403573741</v>
      </c>
      <c r="CE32" s="337"/>
      <c r="CF32" s="337"/>
      <c r="CG32" s="337"/>
      <c r="CH32" s="337"/>
    </row>
    <row r="33" spans="1:86" s="339" customFormat="1">
      <c r="A33" s="341">
        <v>3</v>
      </c>
      <c r="B33" s="340" t="s">
        <v>76</v>
      </c>
      <c r="C33" s="335">
        <v>118407.04791695331</v>
      </c>
      <c r="D33" s="334">
        <v>10986.217565231458</v>
      </c>
      <c r="E33" s="335">
        <v>4139.2148450899876</v>
      </c>
      <c r="F33" s="335">
        <v>18750.130561805519</v>
      </c>
      <c r="CE33" s="337"/>
      <c r="CF33" s="337"/>
      <c r="CG33" s="337"/>
      <c r="CH33" s="337"/>
    </row>
    <row r="34" spans="1:86" s="339" customFormat="1">
      <c r="A34" s="341">
        <v>3</v>
      </c>
      <c r="B34" s="340" t="s">
        <v>77</v>
      </c>
      <c r="C34" s="335">
        <v>20369.87638066382</v>
      </c>
      <c r="D34" s="334">
        <v>2727.8470232485488</v>
      </c>
      <c r="E34" s="335">
        <v>979.32534009089647</v>
      </c>
      <c r="F34" s="335">
        <v>3311.0231829466434</v>
      </c>
      <c r="CE34" s="337"/>
      <c r="CF34" s="337"/>
      <c r="CG34" s="337"/>
      <c r="CH34" s="337"/>
    </row>
    <row r="35" spans="1:86" s="339" customFormat="1">
      <c r="A35" s="341">
        <v>3</v>
      </c>
      <c r="B35" s="340" t="s">
        <v>78</v>
      </c>
      <c r="C35" s="335">
        <v>67609.391092702514</v>
      </c>
      <c r="D35" s="334">
        <v>3858.0169962588452</v>
      </c>
      <c r="E35" s="335">
        <v>423.02981061880774</v>
      </c>
      <c r="F35" s="335">
        <v>6300.5592611837556</v>
      </c>
      <c r="CE35" s="337"/>
      <c r="CF35" s="337"/>
      <c r="CG35" s="337"/>
      <c r="CH35" s="337"/>
    </row>
    <row r="36" spans="1:86" s="339" customFormat="1">
      <c r="A36" s="341">
        <v>3</v>
      </c>
      <c r="B36" s="340" t="s">
        <v>79</v>
      </c>
      <c r="C36" s="335">
        <v>11738.213370884463</v>
      </c>
      <c r="D36" s="334">
        <v>1811.0474362155026</v>
      </c>
      <c r="E36" s="335">
        <v>530.48044406794884</v>
      </c>
      <c r="F36" s="335">
        <v>2459.4351824710302</v>
      </c>
      <c r="CE36" s="337"/>
      <c r="CF36" s="337"/>
      <c r="CG36" s="337"/>
      <c r="CH36" s="337"/>
    </row>
    <row r="37" spans="1:86" s="339" customFormat="1">
      <c r="A37" s="341">
        <v>3</v>
      </c>
      <c r="B37" s="340" t="s">
        <v>80</v>
      </c>
      <c r="C37" s="335">
        <v>2972.082450832072</v>
      </c>
      <c r="D37" s="334">
        <v>449.36960838162236</v>
      </c>
      <c r="E37" s="335">
        <v>90.440588578334754</v>
      </c>
      <c r="F37" s="335">
        <v>895.56126829708126</v>
      </c>
      <c r="CE37" s="337"/>
      <c r="CF37" s="337"/>
      <c r="CG37" s="337"/>
      <c r="CH37" s="337"/>
    </row>
    <row r="38" spans="1:86" s="339" customFormat="1">
      <c r="A38" s="341">
        <v>4</v>
      </c>
      <c r="B38" s="340" t="s">
        <v>81</v>
      </c>
      <c r="C38" s="335">
        <v>4931.2908280673564</v>
      </c>
      <c r="D38" s="334">
        <v>452.87348958146401</v>
      </c>
      <c r="E38" s="335">
        <v>59.22514678655152</v>
      </c>
      <c r="F38" s="335">
        <v>1012.7271712250347</v>
      </c>
      <c r="CE38" s="337"/>
      <c r="CF38" s="337"/>
      <c r="CG38" s="337"/>
      <c r="CH38" s="337"/>
    </row>
    <row r="39" spans="1:86" s="339" customFormat="1">
      <c r="A39" s="341">
        <v>4</v>
      </c>
      <c r="B39" s="340" t="s">
        <v>82</v>
      </c>
      <c r="C39" s="335">
        <v>39670.569025404206</v>
      </c>
      <c r="D39" s="334">
        <v>2759.8535563523292</v>
      </c>
      <c r="E39" s="335">
        <v>618.03422020414587</v>
      </c>
      <c r="F39" s="335">
        <v>6809.0019506349081</v>
      </c>
      <c r="CE39" s="337"/>
      <c r="CF39" s="337"/>
      <c r="CG39" s="337"/>
      <c r="CH39" s="337"/>
    </row>
    <row r="40" spans="1:86" s="339" customFormat="1">
      <c r="A40" s="341">
        <v>4</v>
      </c>
      <c r="B40" s="340" t="s">
        <v>83</v>
      </c>
      <c r="C40" s="335">
        <v>170905.52149202648</v>
      </c>
      <c r="D40" s="334">
        <v>16988.301999523872</v>
      </c>
      <c r="E40" s="335">
        <v>12236.536859067435</v>
      </c>
      <c r="F40" s="335">
        <v>30924.58920206095</v>
      </c>
      <c r="CE40" s="337"/>
      <c r="CF40" s="337"/>
      <c r="CG40" s="337"/>
      <c r="CH40" s="337"/>
    </row>
    <row r="41" spans="1:86" s="339" customFormat="1">
      <c r="A41" s="341">
        <v>4</v>
      </c>
      <c r="B41" s="340" t="s">
        <v>84</v>
      </c>
      <c r="C41" s="335">
        <v>34213.002894881458</v>
      </c>
      <c r="D41" s="334">
        <v>2996.1776921368901</v>
      </c>
      <c r="E41" s="335">
        <v>1222.1988345505188</v>
      </c>
      <c r="F41" s="335">
        <v>4205.9156957424693</v>
      </c>
      <c r="CE41" s="337"/>
      <c r="CF41" s="337"/>
      <c r="CG41" s="337"/>
      <c r="CH41" s="337"/>
    </row>
    <row r="42" spans="1:86" s="339" customFormat="1">
      <c r="A42" s="341">
        <v>4</v>
      </c>
      <c r="B42" s="340" t="s">
        <v>85</v>
      </c>
      <c r="C42" s="335">
        <v>20645.785312499997</v>
      </c>
      <c r="D42" s="334">
        <v>1895.7877207166707</v>
      </c>
      <c r="E42" s="335">
        <v>259.02416967508964</v>
      </c>
      <c r="F42" s="335">
        <v>3409.8242710690038</v>
      </c>
      <c r="CE42" s="337"/>
      <c r="CF42" s="337"/>
      <c r="CG42" s="337"/>
      <c r="CH42" s="337"/>
    </row>
    <row r="43" spans="1:86" s="339" customFormat="1">
      <c r="A43" s="341">
        <v>4</v>
      </c>
      <c r="B43" s="340" t="s">
        <v>86</v>
      </c>
      <c r="C43" s="335">
        <v>52556.139025480552</v>
      </c>
      <c r="D43" s="334">
        <v>4064.494095565944</v>
      </c>
      <c r="E43" s="335">
        <v>780.08683219962995</v>
      </c>
      <c r="F43" s="335">
        <v>6500.580714471138</v>
      </c>
      <c r="CE43" s="337"/>
      <c r="CF43" s="337"/>
      <c r="CG43" s="337"/>
      <c r="CH43" s="337"/>
    </row>
    <row r="44" spans="1:86" s="339" customFormat="1">
      <c r="A44" s="341">
        <v>4</v>
      </c>
      <c r="B44" s="340" t="s">
        <v>87</v>
      </c>
      <c r="C44" s="335">
        <v>154879.68483297067</v>
      </c>
      <c r="D44" s="334">
        <v>14073.329899662438</v>
      </c>
      <c r="E44" s="335">
        <v>4496.0008024060198</v>
      </c>
      <c r="F44" s="335">
        <v>25162.355616299224</v>
      </c>
      <c r="CE44" s="337"/>
      <c r="CF44" s="337"/>
      <c r="CG44" s="337"/>
      <c r="CH44" s="337"/>
    </row>
    <row r="45" spans="1:86" s="339" customFormat="1">
      <c r="A45" s="341">
        <v>5</v>
      </c>
      <c r="B45" s="340" t="s">
        <v>88</v>
      </c>
      <c r="C45" s="335">
        <v>137424.71422707697</v>
      </c>
      <c r="D45" s="334">
        <v>12662.092407315175</v>
      </c>
      <c r="E45" s="335">
        <v>2471.6713751409643</v>
      </c>
      <c r="F45" s="335">
        <v>21516.314108962451</v>
      </c>
      <c r="CE45" s="337"/>
      <c r="CF45" s="337"/>
      <c r="CG45" s="337"/>
      <c r="CH45" s="337"/>
    </row>
    <row r="46" spans="1:86" s="339" customFormat="1">
      <c r="A46" s="341">
        <v>5</v>
      </c>
      <c r="B46" s="340" t="s">
        <v>89</v>
      </c>
      <c r="C46" s="335">
        <v>291805.02071196731</v>
      </c>
      <c r="D46" s="334">
        <v>28585.1961741263</v>
      </c>
      <c r="E46" s="335">
        <v>8462.6543963365239</v>
      </c>
      <c r="F46" s="335">
        <v>46871.315072521495</v>
      </c>
      <c r="CE46" s="337"/>
      <c r="CF46" s="337"/>
      <c r="CG46" s="337"/>
      <c r="CH46" s="337"/>
    </row>
    <row r="47" spans="1:86" s="339" customFormat="1">
      <c r="A47" s="341">
        <v>6</v>
      </c>
      <c r="B47" s="340" t="s">
        <v>90</v>
      </c>
      <c r="C47" s="335">
        <v>5141.7703971119126</v>
      </c>
      <c r="D47" s="334">
        <v>1068.3850950630838</v>
      </c>
      <c r="E47" s="335">
        <v>584.96349673823511</v>
      </c>
      <c r="F47" s="335">
        <v>1057.5272447960672</v>
      </c>
      <c r="CE47" s="337"/>
      <c r="CF47" s="337"/>
      <c r="CG47" s="337"/>
      <c r="CH47" s="337"/>
    </row>
    <row r="48" spans="1:86" s="339" customFormat="1">
      <c r="A48" s="341">
        <v>6</v>
      </c>
      <c r="B48" s="340" t="s">
        <v>91</v>
      </c>
      <c r="C48" s="335">
        <v>40711.391343168092</v>
      </c>
      <c r="D48" s="334">
        <v>4744.5884851897481</v>
      </c>
      <c r="E48" s="335">
        <v>1492.8464157827573</v>
      </c>
      <c r="F48" s="335">
        <v>5884.2551530078445</v>
      </c>
      <c r="CE48" s="337"/>
      <c r="CF48" s="337"/>
      <c r="CG48" s="337"/>
      <c r="CH48" s="337"/>
    </row>
    <row r="49" spans="1:86" s="339" customFormat="1">
      <c r="A49" s="341">
        <v>6</v>
      </c>
      <c r="B49" s="340" t="s">
        <v>92</v>
      </c>
      <c r="C49" s="335">
        <v>245058.87196295807</v>
      </c>
      <c r="D49" s="334">
        <v>27679.909480119415</v>
      </c>
      <c r="E49" s="335">
        <v>20975.858993223468</v>
      </c>
      <c r="F49" s="335">
        <v>43567.541568630833</v>
      </c>
      <c r="CE49" s="337"/>
      <c r="CF49" s="337"/>
      <c r="CG49" s="337"/>
      <c r="CH49" s="337"/>
    </row>
    <row r="50" spans="1:86" s="339" customFormat="1">
      <c r="A50" s="341">
        <v>6</v>
      </c>
      <c r="B50" s="340" t="s">
        <v>93</v>
      </c>
      <c r="C50" s="335">
        <v>112055.77100892593</v>
      </c>
      <c r="D50" s="334">
        <v>8855.9612280425845</v>
      </c>
      <c r="E50" s="335">
        <v>2360.2268300821129</v>
      </c>
      <c r="F50" s="335">
        <v>14436.258660455775</v>
      </c>
      <c r="CE50" s="337"/>
      <c r="CF50" s="337"/>
      <c r="CG50" s="337"/>
      <c r="CH50" s="337"/>
    </row>
    <row r="51" spans="1:86" s="339" customFormat="1">
      <c r="A51" s="341">
        <v>6</v>
      </c>
      <c r="B51" s="340" t="s">
        <v>94</v>
      </c>
      <c r="C51" s="335">
        <v>163319.24539874398</v>
      </c>
      <c r="D51" s="334">
        <v>15907.634140358716</v>
      </c>
      <c r="E51" s="335">
        <v>7842.1102680255681</v>
      </c>
      <c r="F51" s="335">
        <v>27425.213428482297</v>
      </c>
      <c r="CE51" s="337"/>
      <c r="CF51" s="337"/>
      <c r="CG51" s="337"/>
      <c r="CH51" s="337"/>
    </row>
    <row r="52" spans="1:86" s="339" customFormat="1">
      <c r="A52" s="341">
        <v>7</v>
      </c>
      <c r="B52" s="340" t="s">
        <v>95</v>
      </c>
      <c r="C52" s="335">
        <v>164086.7858947576</v>
      </c>
      <c r="D52" s="334">
        <v>13151.244379136231</v>
      </c>
      <c r="E52" s="335">
        <v>4388.9731661334799</v>
      </c>
      <c r="F52" s="335">
        <v>26136.453130861009</v>
      </c>
      <c r="CE52" s="337"/>
      <c r="CF52" s="337"/>
      <c r="CG52" s="337"/>
      <c r="CH52" s="337"/>
    </row>
    <row r="53" spans="1:86" s="339" customFormat="1">
      <c r="A53" s="341">
        <v>7</v>
      </c>
      <c r="B53" s="340" t="s">
        <v>96</v>
      </c>
      <c r="C53" s="335">
        <v>195977.0609220824</v>
      </c>
      <c r="D53" s="334">
        <v>20540.276572444851</v>
      </c>
      <c r="E53" s="335">
        <v>20327.539479851479</v>
      </c>
      <c r="F53" s="335">
        <v>31368.725217703086</v>
      </c>
      <c r="CE53" s="337"/>
      <c r="CF53" s="337"/>
      <c r="CG53" s="337"/>
      <c r="CH53" s="337"/>
    </row>
    <row r="54" spans="1:86" s="339" customFormat="1">
      <c r="A54" s="341">
        <v>7</v>
      </c>
      <c r="B54" s="340" t="s">
        <v>97</v>
      </c>
      <c r="C54" s="335">
        <v>53719.918612327601</v>
      </c>
      <c r="D54" s="334">
        <v>6059.5615361039672</v>
      </c>
      <c r="E54" s="335">
        <v>6753.2023847264409</v>
      </c>
      <c r="F54" s="335">
        <v>10725.471581655758</v>
      </c>
      <c r="CE54" s="337"/>
      <c r="CF54" s="337"/>
      <c r="CG54" s="337"/>
      <c r="CH54" s="337"/>
    </row>
    <row r="55" spans="1:86" s="339" customFormat="1">
      <c r="A55" s="341">
        <v>7</v>
      </c>
      <c r="B55" s="340" t="s">
        <v>98</v>
      </c>
      <c r="C55" s="335">
        <v>88878.288048928123</v>
      </c>
      <c r="D55" s="334">
        <v>6845.5598447961029</v>
      </c>
      <c r="E55" s="335">
        <v>3960.2579440945105</v>
      </c>
      <c r="F55" s="335">
        <v>13215.824985581188</v>
      </c>
      <c r="CE55" s="337"/>
      <c r="CF55" s="337"/>
      <c r="CG55" s="337"/>
      <c r="CH55" s="337"/>
    </row>
    <row r="56" spans="1:86" s="339" customFormat="1">
      <c r="A56" s="341">
        <v>8</v>
      </c>
      <c r="B56" s="340" t="s">
        <v>99</v>
      </c>
      <c r="C56" s="335">
        <v>74935.339565157177</v>
      </c>
      <c r="D56" s="334">
        <v>5130.8560662857381</v>
      </c>
      <c r="E56" s="335">
        <v>1426.6928631154904</v>
      </c>
      <c r="F56" s="335">
        <v>10233.969365320674</v>
      </c>
      <c r="CE56" s="337"/>
      <c r="CF56" s="337"/>
      <c r="CG56" s="337"/>
      <c r="CH56" s="337"/>
    </row>
    <row r="57" spans="1:86" s="339" customFormat="1">
      <c r="A57" s="341">
        <v>8</v>
      </c>
      <c r="B57" s="340" t="s">
        <v>100</v>
      </c>
      <c r="C57" s="335">
        <v>118777.54304327052</v>
      </c>
      <c r="D57" s="334">
        <v>8542.0084100128424</v>
      </c>
      <c r="E57" s="335">
        <v>4104.6920133699914</v>
      </c>
      <c r="F57" s="335">
        <v>13025.780198274977</v>
      </c>
      <c r="CE57" s="337"/>
      <c r="CF57" s="337"/>
      <c r="CG57" s="337"/>
      <c r="CH57" s="337"/>
    </row>
    <row r="58" spans="1:86" s="339" customFormat="1">
      <c r="A58" s="341">
        <v>8</v>
      </c>
      <c r="B58" s="340" t="s">
        <v>196</v>
      </c>
      <c r="C58" s="335">
        <v>8286.347906922696</v>
      </c>
      <c r="D58" s="334">
        <v>1185.4213712525086</v>
      </c>
      <c r="E58" s="335">
        <v>556.60592884077312</v>
      </c>
      <c r="F58" s="335">
        <v>1538.8931827142151</v>
      </c>
      <c r="CE58" s="337"/>
      <c r="CF58" s="337"/>
      <c r="CG58" s="337"/>
      <c r="CH58" s="337"/>
    </row>
    <row r="59" spans="1:86" s="339" customFormat="1">
      <c r="A59" s="341">
        <v>8</v>
      </c>
      <c r="B59" s="340" t="s">
        <v>101</v>
      </c>
      <c r="C59" s="335">
        <v>3882.5635073648496</v>
      </c>
      <c r="D59" s="334">
        <v>448.88063183354768</v>
      </c>
      <c r="E59" s="335">
        <v>123.96036231108633</v>
      </c>
      <c r="F59" s="335">
        <v>714.55158501051937</v>
      </c>
      <c r="CE59" s="337"/>
      <c r="CF59" s="337"/>
      <c r="CG59" s="337"/>
      <c r="CH59" s="337"/>
    </row>
    <row r="60" spans="1:86" s="339" customFormat="1">
      <c r="A60" s="341">
        <v>8</v>
      </c>
      <c r="B60" s="340" t="s">
        <v>102</v>
      </c>
      <c r="C60" s="335">
        <v>6691.3630412493103</v>
      </c>
      <c r="D60" s="334">
        <v>1136.2699480401097</v>
      </c>
      <c r="E60" s="335">
        <v>1110.6143678622861</v>
      </c>
      <c r="F60" s="335">
        <v>1681.1358384626367</v>
      </c>
      <c r="CE60" s="337"/>
      <c r="CF60" s="337"/>
      <c r="CG60" s="337"/>
      <c r="CH60" s="337"/>
    </row>
    <row r="61" spans="1:86" s="339" customFormat="1">
      <c r="A61" s="341">
        <v>8</v>
      </c>
      <c r="B61" s="340" t="s">
        <v>103</v>
      </c>
      <c r="C61" s="335">
        <v>211236.91506356475</v>
      </c>
      <c r="D61" s="334">
        <v>15778.789096748642</v>
      </c>
      <c r="E61" s="335">
        <v>5830.4182740269162</v>
      </c>
      <c r="F61" s="335">
        <v>27209.201904948535</v>
      </c>
      <c r="CE61" s="337"/>
      <c r="CF61" s="337"/>
      <c r="CG61" s="337"/>
      <c r="CH61" s="337"/>
    </row>
    <row r="62" spans="1:86" s="339" customFormat="1">
      <c r="A62" s="341">
        <v>8</v>
      </c>
      <c r="B62" s="340" t="s">
        <v>104</v>
      </c>
      <c r="C62" s="335">
        <v>161615.50370047888</v>
      </c>
      <c r="D62" s="334">
        <v>11498.585965084872</v>
      </c>
      <c r="E62" s="335">
        <v>2237.502039714288</v>
      </c>
      <c r="F62" s="335">
        <v>20250.319399936936</v>
      </c>
      <c r="CE62" s="337"/>
      <c r="CF62" s="337"/>
      <c r="CG62" s="337"/>
      <c r="CH62" s="337"/>
    </row>
    <row r="63" spans="1:86" s="339" customFormat="1">
      <c r="A63" s="341">
        <v>9</v>
      </c>
      <c r="B63" s="340" t="s">
        <v>105</v>
      </c>
      <c r="C63" s="335">
        <v>51979.301044926244</v>
      </c>
      <c r="D63" s="334">
        <v>4068.6170872280327</v>
      </c>
      <c r="E63" s="335">
        <v>1004.2912841870813</v>
      </c>
      <c r="F63" s="335">
        <v>7122.5124713828873</v>
      </c>
      <c r="CE63" s="337"/>
      <c r="CF63" s="337"/>
      <c r="CG63" s="337"/>
      <c r="CH63" s="337"/>
    </row>
    <row r="64" spans="1:86" s="339" customFormat="1">
      <c r="A64" s="341">
        <v>9</v>
      </c>
      <c r="B64" s="340" t="s">
        <v>106</v>
      </c>
      <c r="C64" s="335">
        <v>55084.972844879383</v>
      </c>
      <c r="D64" s="334">
        <v>3615.1180958219311</v>
      </c>
      <c r="E64" s="335">
        <v>870.58080571255346</v>
      </c>
      <c r="F64" s="335">
        <v>6567.5961179179503</v>
      </c>
      <c r="CE64" s="337"/>
      <c r="CF64" s="337"/>
      <c r="CG64" s="337"/>
      <c r="CH64" s="337"/>
    </row>
    <row r="65" spans="1:86" s="339" customFormat="1">
      <c r="A65" s="341">
        <v>9</v>
      </c>
      <c r="B65" s="340" t="s">
        <v>107</v>
      </c>
      <c r="C65" s="335">
        <v>9498.4545204726583</v>
      </c>
      <c r="D65" s="334">
        <v>1408.0558820076619</v>
      </c>
      <c r="E65" s="335">
        <v>366.43762342069476</v>
      </c>
      <c r="F65" s="335">
        <v>2151.2179227551314</v>
      </c>
      <c r="CE65" s="337"/>
      <c r="CF65" s="337"/>
      <c r="CG65" s="337"/>
      <c r="CH65" s="337"/>
    </row>
    <row r="66" spans="1:86" s="339" customFormat="1">
      <c r="A66" s="341">
        <v>9</v>
      </c>
      <c r="B66" s="340" t="s">
        <v>108</v>
      </c>
      <c r="C66" s="335">
        <v>401486.06251683517</v>
      </c>
      <c r="D66" s="334">
        <v>36127.337586965223</v>
      </c>
      <c r="E66" s="335">
        <v>18978.933250554412</v>
      </c>
      <c r="F66" s="335">
        <v>57138.735006702402</v>
      </c>
      <c r="CE66" s="337"/>
      <c r="CF66" s="337"/>
      <c r="CG66" s="337"/>
      <c r="CH66" s="337"/>
    </row>
    <row r="67" spans="1:86" s="339" customFormat="1">
      <c r="A67" s="341">
        <v>9</v>
      </c>
      <c r="B67" s="340" t="s">
        <v>109</v>
      </c>
      <c r="C67" s="335">
        <v>78861.137424183136</v>
      </c>
      <c r="D67" s="334">
        <v>7418.6759874289846</v>
      </c>
      <c r="E67" s="335">
        <v>4215.8891953523444</v>
      </c>
      <c r="F67" s="335">
        <v>12118.401340484967</v>
      </c>
      <c r="CE67" s="337"/>
      <c r="CF67" s="337"/>
      <c r="CG67" s="337"/>
      <c r="CH67" s="337"/>
    </row>
    <row r="68" spans="1:86" s="339" customFormat="1">
      <c r="A68" s="341">
        <v>10</v>
      </c>
      <c r="B68" s="340" t="s">
        <v>110</v>
      </c>
      <c r="C68" s="335">
        <v>401200.68067629344</v>
      </c>
      <c r="D68" s="334">
        <v>51046.137239331278</v>
      </c>
      <c r="E68" s="335">
        <v>38821.268677798384</v>
      </c>
      <c r="F68" s="335">
        <v>70532.61630884622</v>
      </c>
      <c r="CE68" s="337"/>
      <c r="CF68" s="337"/>
      <c r="CG68" s="337"/>
      <c r="CH68" s="337"/>
    </row>
    <row r="69" spans="1:86" s="339" customFormat="1">
      <c r="A69" s="341">
        <v>11</v>
      </c>
      <c r="B69" s="340" t="s">
        <v>111</v>
      </c>
      <c r="C69" s="335">
        <v>549917.46267795237</v>
      </c>
      <c r="D69" s="334">
        <v>113467.27400899208</v>
      </c>
      <c r="E69" s="335">
        <v>142321.74811026827</v>
      </c>
      <c r="F69" s="335">
        <v>101758.25770582</v>
      </c>
      <c r="CE69" s="337"/>
      <c r="CF69" s="337"/>
      <c r="CG69" s="337"/>
      <c r="CH69" s="337"/>
    </row>
    <row r="70" spans="1:86" s="339" customFormat="1">
      <c r="A70" s="341">
        <v>11</v>
      </c>
      <c r="B70" s="340" t="s">
        <v>112</v>
      </c>
      <c r="C70" s="335">
        <v>22092.260104452027</v>
      </c>
      <c r="D70" s="334">
        <v>2262.885394837172</v>
      </c>
      <c r="E70" s="335">
        <v>765.86449784287095</v>
      </c>
      <c r="F70" s="335">
        <v>2620.7375691803263</v>
      </c>
      <c r="CE70" s="337"/>
      <c r="CF70" s="337"/>
      <c r="CG70" s="337"/>
      <c r="CH70" s="337"/>
    </row>
    <row r="72" spans="1:86">
      <c r="C72" s="338">
        <f>SUM(C4:C71)</f>
        <v>4982154.5053372728</v>
      </c>
      <c r="D72" s="338">
        <f t="shared" ref="D72:F72" si="0">SUM(D4:D71)</f>
        <v>527808.78972678492</v>
      </c>
      <c r="E72" s="338">
        <f t="shared" si="0"/>
        <v>349631.04056161968</v>
      </c>
      <c r="F72" s="338">
        <f t="shared" si="0"/>
        <v>798628.40671612532</v>
      </c>
    </row>
    <row r="73" spans="1:86">
      <c r="C73" s="338"/>
      <c r="D73" s="338"/>
      <c r="E73" s="338"/>
      <c r="F73" s="338"/>
    </row>
    <row r="74" spans="1:86" s="336" customFormat="1">
      <c r="A74" s="336" t="s">
        <v>251</v>
      </c>
    </row>
    <row r="75" spans="1:86" s="336" customFormat="1" ht="15" customHeight="1">
      <c r="A75" s="336" t="s">
        <v>252</v>
      </c>
    </row>
    <row r="76" spans="1:86" s="336" customFormat="1" ht="15" customHeight="1">
      <c r="A76" s="336" t="s">
        <v>253</v>
      </c>
    </row>
    <row r="77" spans="1:86" s="336" customFormat="1" ht="17.25">
      <c r="A77" s="336" t="s">
        <v>277</v>
      </c>
    </row>
    <row r="78" spans="1:86" s="336" customFormat="1" ht="17.25">
      <c r="A78" s="336" t="s">
        <v>278</v>
      </c>
    </row>
    <row r="79" spans="1:86" s="336" customFormat="1" ht="17.25">
      <c r="A79" s="336" t="s">
        <v>254</v>
      </c>
    </row>
  </sheetData>
  <mergeCells count="2">
    <mergeCell ref="A1:F1"/>
    <mergeCell ref="A2:F2"/>
  </mergeCells>
  <pageMargins left="0.45" right="0.45" top="0.75" bottom="0.75" header="0.3" footer="0.3"/>
  <pageSetup scale="80" fitToHeight="0" orientation="landscape" r:id="rId1"/>
  <headerFooter>
    <oddFooter>&amp;C&amp;11Page &amp;P of &amp;N</oddFoot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16"/>
  <sheetViews>
    <sheetView workbookViewId="0">
      <selection activeCell="A8" sqref="A8"/>
    </sheetView>
  </sheetViews>
  <sheetFormatPr defaultRowHeight="15"/>
  <cols>
    <col min="1" max="1" width="10.21875" style="343" customWidth="1"/>
    <col min="2" max="2" width="17.44140625" style="343" bestFit="1" customWidth="1"/>
    <col min="3" max="3" width="16.44140625" style="343" bestFit="1" customWidth="1"/>
    <col min="4" max="16384" width="8.88671875" style="343"/>
  </cols>
  <sheetData>
    <row r="3" spans="1:3">
      <c r="A3" s="2"/>
      <c r="B3" s="183" t="s">
        <v>113</v>
      </c>
      <c r="C3" s="2"/>
    </row>
    <row r="4" spans="1:3" s="394" customFormat="1" ht="60">
      <c r="A4" s="405" t="s">
        <v>280</v>
      </c>
      <c r="B4" s="4" t="s">
        <v>281</v>
      </c>
      <c r="C4" s="4" t="s">
        <v>282</v>
      </c>
    </row>
    <row r="5" spans="1:3">
      <c r="A5" s="406">
        <v>1</v>
      </c>
      <c r="B5" s="314">
        <v>28765.346999999998</v>
      </c>
      <c r="C5" s="314">
        <v>12739</v>
      </c>
    </row>
    <row r="6" spans="1:3">
      <c r="A6" s="406">
        <v>2</v>
      </c>
      <c r="B6" s="314">
        <v>53977.248</v>
      </c>
      <c r="C6" s="314">
        <v>15147</v>
      </c>
    </row>
    <row r="7" spans="1:3">
      <c r="A7" s="406">
        <v>3</v>
      </c>
      <c r="B7" s="314">
        <v>152811.62299999999</v>
      </c>
      <c r="C7" s="314">
        <v>47208</v>
      </c>
    </row>
    <row r="8" spans="1:3">
      <c r="A8" s="406">
        <v>4</v>
      </c>
      <c r="B8" s="314">
        <v>75928.252999999997</v>
      </c>
      <c r="C8" s="314">
        <v>41763</v>
      </c>
    </row>
    <row r="9" spans="1:3">
      <c r="A9" s="406">
        <v>5</v>
      </c>
      <c r="B9" s="314">
        <v>50810.756000000001</v>
      </c>
      <c r="C9" s="314">
        <v>39713</v>
      </c>
    </row>
    <row r="10" spans="1:3">
      <c r="A10" s="406">
        <v>6</v>
      </c>
      <c r="B10" s="314">
        <v>108223.723</v>
      </c>
      <c r="C10" s="314">
        <v>56355</v>
      </c>
    </row>
    <row r="11" spans="1:3">
      <c r="A11" s="406">
        <v>7</v>
      </c>
      <c r="B11" s="314">
        <v>90276.466</v>
      </c>
      <c r="C11" s="314">
        <v>44528</v>
      </c>
    </row>
    <row r="12" spans="1:3">
      <c r="A12" s="406">
        <v>8</v>
      </c>
      <c r="B12" s="314">
        <v>93081.126999999993</v>
      </c>
      <c r="C12" s="314">
        <v>44293</v>
      </c>
    </row>
    <row r="13" spans="1:3">
      <c r="A13" s="406">
        <v>9</v>
      </c>
      <c r="B13" s="314">
        <v>58561.115380229756</v>
      </c>
      <c r="C13" s="314">
        <v>51268</v>
      </c>
    </row>
    <row r="14" spans="1:3">
      <c r="A14" s="406">
        <v>10</v>
      </c>
      <c r="B14" s="314">
        <v>40636.978999999999</v>
      </c>
      <c r="C14" s="314">
        <v>48593</v>
      </c>
    </row>
    <row r="15" spans="1:3">
      <c r="A15" s="406">
        <v>11</v>
      </c>
      <c r="B15" s="314">
        <v>125081.28499999997</v>
      </c>
      <c r="C15" s="314">
        <v>109087</v>
      </c>
    </row>
    <row r="16" spans="1:3">
      <c r="A16" s="406" t="s">
        <v>114</v>
      </c>
      <c r="B16" s="314">
        <v>878153.92238022969</v>
      </c>
      <c r="C16" s="314">
        <v>510694</v>
      </c>
    </row>
  </sheetData>
  <pageMargins left="0.7" right="0.7" top="0.75" bottom="0.75" header="0.3" footer="0.3"/>
  <pageSetup orientation="portrait"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72"/>
  <sheetViews>
    <sheetView workbookViewId="0">
      <selection activeCell="H30" sqref="H30"/>
    </sheetView>
  </sheetViews>
  <sheetFormatPr defaultRowHeight="12.75"/>
  <cols>
    <col min="1" max="2" width="8.88671875" style="397"/>
    <col min="3" max="4" width="17.5546875" style="397" customWidth="1"/>
    <col min="5" max="16384" width="8.88671875" style="397"/>
  </cols>
  <sheetData>
    <row r="3" spans="1:4" ht="60">
      <c r="A3" s="395" t="s">
        <v>5</v>
      </c>
      <c r="B3" s="396" t="s">
        <v>45</v>
      </c>
      <c r="C3" s="1" t="s">
        <v>283</v>
      </c>
      <c r="D3" s="1" t="s">
        <v>284</v>
      </c>
    </row>
    <row r="4" spans="1:4" ht="15">
      <c r="A4" s="398">
        <v>1</v>
      </c>
      <c r="B4" s="401" t="s">
        <v>47</v>
      </c>
      <c r="C4" s="334">
        <v>6360.9476678215196</v>
      </c>
      <c r="D4" s="402">
        <v>18247.050999999999</v>
      </c>
    </row>
    <row r="5" spans="1:4" ht="15">
      <c r="A5" s="398">
        <v>1</v>
      </c>
      <c r="B5" s="401" t="s">
        <v>48</v>
      </c>
      <c r="C5" s="334">
        <v>2484.5342474594759</v>
      </c>
      <c r="D5" s="402">
        <v>1538</v>
      </c>
    </row>
    <row r="6" spans="1:4" ht="15">
      <c r="A6" s="398">
        <v>1</v>
      </c>
      <c r="B6" s="401" t="s">
        <v>49</v>
      </c>
      <c r="C6" s="334">
        <v>2360.7177204979084</v>
      </c>
      <c r="D6" s="403">
        <v>6197</v>
      </c>
    </row>
    <row r="7" spans="1:4" ht="15">
      <c r="A7" s="398">
        <v>1</v>
      </c>
      <c r="B7" s="401" t="s">
        <v>50</v>
      </c>
      <c r="C7" s="334">
        <v>1469.7459556609858</v>
      </c>
      <c r="D7" s="402">
        <v>2783.2959999999998</v>
      </c>
    </row>
    <row r="8" spans="1:4" ht="15">
      <c r="A8" s="398">
        <v>2</v>
      </c>
      <c r="B8" s="401" t="s">
        <v>51</v>
      </c>
      <c r="C8" s="334">
        <v>3511.2486283552616</v>
      </c>
      <c r="D8" s="402">
        <v>16557</v>
      </c>
    </row>
    <row r="9" spans="1:4" ht="15">
      <c r="A9" s="398">
        <v>2</v>
      </c>
      <c r="B9" s="401" t="s">
        <v>52</v>
      </c>
      <c r="C9" s="334">
        <v>471.96691341001508</v>
      </c>
      <c r="D9" s="402">
        <v>949.10599999999999</v>
      </c>
    </row>
    <row r="10" spans="1:4" ht="15">
      <c r="A10" s="398">
        <v>2</v>
      </c>
      <c r="B10" s="401" t="s">
        <v>53</v>
      </c>
      <c r="C10" s="334">
        <v>431.06266652712867</v>
      </c>
      <c r="D10" s="402">
        <v>878.19499999999994</v>
      </c>
    </row>
    <row r="11" spans="1:4" ht="15">
      <c r="A11" s="398">
        <v>2</v>
      </c>
      <c r="B11" s="401" t="s">
        <v>54</v>
      </c>
      <c r="C11" s="334">
        <v>1745.081647461695</v>
      </c>
      <c r="D11" s="402">
        <v>6183</v>
      </c>
    </row>
    <row r="12" spans="1:4" ht="15">
      <c r="A12" s="398">
        <v>2</v>
      </c>
      <c r="B12" s="401" t="s">
        <v>55</v>
      </c>
      <c r="C12" s="334">
        <v>425.62357230252206</v>
      </c>
      <c r="D12" s="402">
        <v>508.464</v>
      </c>
    </row>
    <row r="13" spans="1:4" ht="15">
      <c r="A13" s="398">
        <v>2</v>
      </c>
      <c r="B13" s="401" t="s">
        <v>56</v>
      </c>
      <c r="C13" s="334">
        <v>787.58644346987035</v>
      </c>
      <c r="D13" s="402">
        <v>1576.6659999999999</v>
      </c>
    </row>
    <row r="14" spans="1:4" ht="15">
      <c r="A14" s="398">
        <v>2</v>
      </c>
      <c r="B14" s="401" t="s">
        <v>57</v>
      </c>
      <c r="C14" s="334">
        <v>1668.0783298937372</v>
      </c>
      <c r="D14" s="402">
        <v>3178</v>
      </c>
    </row>
    <row r="15" spans="1:4" ht="15">
      <c r="A15" s="398">
        <v>2</v>
      </c>
      <c r="B15" s="401" t="s">
        <v>58</v>
      </c>
      <c r="C15" s="334">
        <v>301.41831828057968</v>
      </c>
      <c r="D15" s="402">
        <v>1141.9380000000001</v>
      </c>
    </row>
    <row r="16" spans="1:4" ht="15">
      <c r="A16" s="398">
        <v>2</v>
      </c>
      <c r="B16" s="401" t="s">
        <v>59</v>
      </c>
      <c r="C16" s="334">
        <v>3484.4218937616929</v>
      </c>
      <c r="D16" s="402">
        <v>8952.366</v>
      </c>
    </row>
    <row r="17" spans="1:4" ht="15">
      <c r="A17" s="398">
        <v>2</v>
      </c>
      <c r="B17" s="401" t="s">
        <v>60</v>
      </c>
      <c r="C17" s="334">
        <v>195.07249672130024</v>
      </c>
      <c r="D17" s="402">
        <v>703.49399999999991</v>
      </c>
    </row>
    <row r="18" spans="1:4" ht="15">
      <c r="A18" s="398">
        <v>2</v>
      </c>
      <c r="B18" s="401" t="s">
        <v>61</v>
      </c>
      <c r="C18" s="334">
        <v>658.90772116631115</v>
      </c>
      <c r="D18" s="402">
        <v>2906.9690000000001</v>
      </c>
    </row>
    <row r="19" spans="1:4" ht="15">
      <c r="A19" s="398">
        <v>2</v>
      </c>
      <c r="B19" s="401" t="s">
        <v>62</v>
      </c>
      <c r="C19" s="334">
        <v>593.52459298069675</v>
      </c>
      <c r="D19" s="402">
        <v>3173</v>
      </c>
    </row>
    <row r="20" spans="1:4" ht="15">
      <c r="A20" s="398">
        <v>2</v>
      </c>
      <c r="B20" s="401" t="s">
        <v>63</v>
      </c>
      <c r="C20" s="334">
        <v>455.21921644171118</v>
      </c>
      <c r="D20" s="402">
        <v>3893</v>
      </c>
    </row>
    <row r="21" spans="1:4" ht="15">
      <c r="A21" s="398">
        <v>2</v>
      </c>
      <c r="B21" s="401" t="s">
        <v>64</v>
      </c>
      <c r="C21" s="334">
        <v>657.12093934778136</v>
      </c>
      <c r="D21" s="402">
        <v>3376.0499999999997</v>
      </c>
    </row>
    <row r="22" spans="1:4" ht="15">
      <c r="A22" s="398">
        <v>3</v>
      </c>
      <c r="B22" s="401" t="s">
        <v>65</v>
      </c>
      <c r="C22" s="334">
        <v>4972.694332493098</v>
      </c>
      <c r="D22" s="402">
        <v>10573.712</v>
      </c>
    </row>
    <row r="23" spans="1:4" ht="15">
      <c r="A23" s="398">
        <v>3</v>
      </c>
      <c r="B23" s="401" t="s">
        <v>66</v>
      </c>
      <c r="C23" s="334">
        <v>1015.0481254656057</v>
      </c>
      <c r="D23" s="402">
        <v>3290</v>
      </c>
    </row>
    <row r="24" spans="1:4" ht="15">
      <c r="A24" s="398">
        <v>3</v>
      </c>
      <c r="B24" s="401" t="s">
        <v>67</v>
      </c>
      <c r="C24" s="334">
        <v>5240.8291129713371</v>
      </c>
      <c r="D24" s="402">
        <v>18008.114999999998</v>
      </c>
    </row>
    <row r="25" spans="1:4" ht="15">
      <c r="A25" s="398">
        <v>3</v>
      </c>
      <c r="B25" s="401" t="s">
        <v>68</v>
      </c>
      <c r="C25" s="334">
        <v>1484.9315031827409</v>
      </c>
      <c r="D25" s="402">
        <v>4565.2790000000005</v>
      </c>
    </row>
    <row r="26" spans="1:4" ht="15">
      <c r="A26" s="398">
        <v>3</v>
      </c>
      <c r="B26" s="401" t="s">
        <v>69</v>
      </c>
      <c r="C26" s="334">
        <v>504.72734671781853</v>
      </c>
      <c r="D26" s="402">
        <v>2855</v>
      </c>
    </row>
    <row r="27" spans="1:4" ht="15">
      <c r="A27" s="398">
        <v>3</v>
      </c>
      <c r="B27" s="401" t="s">
        <v>70</v>
      </c>
      <c r="C27" s="334">
        <v>683.6286249771041</v>
      </c>
      <c r="D27" s="402">
        <v>1135</v>
      </c>
    </row>
    <row r="28" spans="1:4" ht="15">
      <c r="A28" s="398">
        <v>3</v>
      </c>
      <c r="B28" s="401" t="s">
        <v>71</v>
      </c>
      <c r="C28" s="334">
        <v>467.52729956664803</v>
      </c>
      <c r="D28" s="402">
        <v>1712.1089999999999</v>
      </c>
    </row>
    <row r="29" spans="1:4" ht="15">
      <c r="A29" s="398">
        <v>3</v>
      </c>
      <c r="B29" s="401" t="s">
        <v>72</v>
      </c>
      <c r="C29" s="334">
        <v>4251.0429993185262</v>
      </c>
      <c r="D29" s="402">
        <v>15525</v>
      </c>
    </row>
    <row r="30" spans="1:4" ht="15">
      <c r="A30" s="398">
        <v>3</v>
      </c>
      <c r="B30" s="401" t="s">
        <v>73</v>
      </c>
      <c r="C30" s="334">
        <v>238.22966355261661</v>
      </c>
      <c r="D30" s="402">
        <v>804</v>
      </c>
    </row>
    <row r="31" spans="1:4" ht="15">
      <c r="A31" s="398">
        <v>3</v>
      </c>
      <c r="B31" s="401" t="s">
        <v>74</v>
      </c>
      <c r="C31" s="334">
        <v>7291.6594310113123</v>
      </c>
      <c r="D31" s="402">
        <v>27653.494000000002</v>
      </c>
    </row>
    <row r="32" spans="1:4" ht="15">
      <c r="A32" s="398">
        <v>3</v>
      </c>
      <c r="B32" s="401" t="s">
        <v>75</v>
      </c>
      <c r="C32" s="334">
        <v>1297.5531185256234</v>
      </c>
      <c r="D32" s="402">
        <v>3417</v>
      </c>
    </row>
    <row r="33" spans="1:4" ht="15">
      <c r="A33" s="398">
        <v>3</v>
      </c>
      <c r="B33" s="401" t="s">
        <v>76</v>
      </c>
      <c r="C33" s="334">
        <v>10986.217565231458</v>
      </c>
      <c r="D33" s="402">
        <v>31644</v>
      </c>
    </row>
    <row r="34" spans="1:4" ht="15">
      <c r="A34" s="398">
        <v>3</v>
      </c>
      <c r="B34" s="401" t="s">
        <v>77</v>
      </c>
      <c r="C34" s="334">
        <v>2727.8470232485488</v>
      </c>
      <c r="D34" s="402">
        <v>6524</v>
      </c>
    </row>
    <row r="35" spans="1:4" ht="15">
      <c r="A35" s="398">
        <v>3</v>
      </c>
      <c r="B35" s="401" t="s">
        <v>78</v>
      </c>
      <c r="C35" s="334">
        <v>3858.0169962588452</v>
      </c>
      <c r="D35" s="404">
        <v>16523</v>
      </c>
    </row>
    <row r="36" spans="1:4" ht="15">
      <c r="A36" s="398">
        <v>3</v>
      </c>
      <c r="B36" s="401" t="s">
        <v>79</v>
      </c>
      <c r="C36" s="334">
        <v>1811.0474362155026</v>
      </c>
      <c r="D36" s="402">
        <v>7736.9140000000007</v>
      </c>
    </row>
    <row r="37" spans="1:4" ht="15">
      <c r="A37" s="398">
        <v>3</v>
      </c>
      <c r="B37" s="401" t="s">
        <v>80</v>
      </c>
      <c r="C37" s="334">
        <v>449.36960838162236</v>
      </c>
      <c r="D37" s="402">
        <v>845</v>
      </c>
    </row>
    <row r="38" spans="1:4" ht="15">
      <c r="A38" s="398">
        <v>4</v>
      </c>
      <c r="B38" s="401" t="s">
        <v>81</v>
      </c>
      <c r="C38" s="334">
        <v>452.87348958146401</v>
      </c>
      <c r="D38" s="402">
        <v>2595</v>
      </c>
    </row>
    <row r="39" spans="1:4" ht="15">
      <c r="A39" s="398">
        <v>4</v>
      </c>
      <c r="B39" s="401" t="s">
        <v>82</v>
      </c>
      <c r="C39" s="334">
        <v>2759.8535563523292</v>
      </c>
      <c r="D39" s="402">
        <v>1659</v>
      </c>
    </row>
    <row r="40" spans="1:4" ht="15">
      <c r="A40" s="398">
        <v>4</v>
      </c>
      <c r="B40" s="401" t="s">
        <v>83</v>
      </c>
      <c r="C40" s="334">
        <v>16988.301999523872</v>
      </c>
      <c r="D40" s="402">
        <v>12791.253000000001</v>
      </c>
    </row>
    <row r="41" spans="1:4" ht="15">
      <c r="A41" s="398">
        <v>4</v>
      </c>
      <c r="B41" s="401" t="s">
        <v>84</v>
      </c>
      <c r="C41" s="334">
        <v>2996.1776921368901</v>
      </c>
      <c r="D41" s="402">
        <v>7946</v>
      </c>
    </row>
    <row r="42" spans="1:4" ht="15">
      <c r="A42" s="398">
        <v>4</v>
      </c>
      <c r="B42" s="401" t="s">
        <v>85</v>
      </c>
      <c r="C42" s="334">
        <v>1895.7877207166707</v>
      </c>
      <c r="D42" s="402">
        <v>10885</v>
      </c>
    </row>
    <row r="43" spans="1:4" ht="15">
      <c r="A43" s="398">
        <v>4</v>
      </c>
      <c r="B43" s="401" t="s">
        <v>86</v>
      </c>
      <c r="C43" s="334">
        <v>4064.494095565944</v>
      </c>
      <c r="D43" s="403">
        <v>2373</v>
      </c>
    </row>
    <row r="44" spans="1:4" ht="15">
      <c r="A44" s="398">
        <v>4</v>
      </c>
      <c r="B44" s="401" t="s">
        <v>87</v>
      </c>
      <c r="C44" s="334">
        <v>14073.329899662438</v>
      </c>
      <c r="D44" s="402">
        <v>37679</v>
      </c>
    </row>
    <row r="45" spans="1:4" ht="15">
      <c r="A45" s="398">
        <v>5</v>
      </c>
      <c r="B45" s="401" t="s">
        <v>88</v>
      </c>
      <c r="C45" s="334">
        <v>12662.092407315175</v>
      </c>
      <c r="D45" s="402">
        <v>31433.092000000001</v>
      </c>
    </row>
    <row r="46" spans="1:4" ht="15">
      <c r="A46" s="398">
        <v>5</v>
      </c>
      <c r="B46" s="401" t="s">
        <v>89</v>
      </c>
      <c r="C46" s="334">
        <v>28585.1961741263</v>
      </c>
      <c r="D46" s="402">
        <v>19377.664000000001</v>
      </c>
    </row>
    <row r="47" spans="1:4" ht="15">
      <c r="A47" s="398">
        <v>6</v>
      </c>
      <c r="B47" s="401" t="s">
        <v>90</v>
      </c>
      <c r="C47" s="334">
        <v>1068.3850950630838</v>
      </c>
      <c r="D47" s="402">
        <v>3368.1410000000001</v>
      </c>
    </row>
    <row r="48" spans="1:4" ht="15">
      <c r="A48" s="398">
        <v>6</v>
      </c>
      <c r="B48" s="401" t="s">
        <v>91</v>
      </c>
      <c r="C48" s="334">
        <v>4744.5884851897481</v>
      </c>
      <c r="D48" s="402">
        <v>13871.76</v>
      </c>
    </row>
    <row r="49" spans="1:4" ht="15">
      <c r="A49" s="398">
        <v>6</v>
      </c>
      <c r="B49" s="401" t="s">
        <v>92</v>
      </c>
      <c r="C49" s="334">
        <v>27679.909480119415</v>
      </c>
      <c r="D49" s="402">
        <v>24697.041999999998</v>
      </c>
    </row>
    <row r="50" spans="1:4" ht="15">
      <c r="A50" s="398">
        <v>6</v>
      </c>
      <c r="B50" s="401" t="s">
        <v>93</v>
      </c>
      <c r="C50" s="334">
        <v>8855.9612280425845</v>
      </c>
      <c r="D50" s="402">
        <v>24171</v>
      </c>
    </row>
    <row r="51" spans="1:4" ht="15">
      <c r="A51" s="398">
        <v>6</v>
      </c>
      <c r="B51" s="401" t="s">
        <v>94</v>
      </c>
      <c r="C51" s="334">
        <v>15907.634140358716</v>
      </c>
      <c r="D51" s="402">
        <v>42115.78</v>
      </c>
    </row>
    <row r="52" spans="1:4" ht="15">
      <c r="A52" s="398">
        <v>7</v>
      </c>
      <c r="B52" s="401" t="s">
        <v>95</v>
      </c>
      <c r="C52" s="334">
        <v>13151.244379136231</v>
      </c>
      <c r="D52" s="402">
        <v>32899</v>
      </c>
    </row>
    <row r="53" spans="1:4" ht="15">
      <c r="A53" s="398">
        <v>7</v>
      </c>
      <c r="B53" s="401" t="s">
        <v>96</v>
      </c>
      <c r="C53" s="334">
        <v>20540.276572444851</v>
      </c>
      <c r="D53" s="402">
        <v>21278.466</v>
      </c>
    </row>
    <row r="54" spans="1:4" ht="15">
      <c r="A54" s="398">
        <v>7</v>
      </c>
      <c r="B54" s="401" t="s">
        <v>97</v>
      </c>
      <c r="C54" s="334">
        <v>6059.5615361039672</v>
      </c>
      <c r="D54" s="402">
        <v>31838</v>
      </c>
    </row>
    <row r="55" spans="1:4" ht="15">
      <c r="A55" s="398">
        <v>7</v>
      </c>
      <c r="B55" s="401" t="s">
        <v>98</v>
      </c>
      <c r="C55" s="334">
        <v>6845.5598447961029</v>
      </c>
      <c r="D55" s="404">
        <v>4261</v>
      </c>
    </row>
    <row r="56" spans="1:4" ht="15">
      <c r="A56" s="398">
        <v>8</v>
      </c>
      <c r="B56" s="401" t="s">
        <v>99</v>
      </c>
      <c r="C56" s="334">
        <v>5130.8560662857381</v>
      </c>
      <c r="D56" s="402">
        <v>15596</v>
      </c>
    </row>
    <row r="57" spans="1:4" ht="15">
      <c r="A57" s="398">
        <v>8</v>
      </c>
      <c r="B57" s="401" t="s">
        <v>100</v>
      </c>
      <c r="C57" s="334">
        <v>8542.0084100128424</v>
      </c>
      <c r="D57" s="402">
        <v>23317</v>
      </c>
    </row>
    <row r="58" spans="1:4" ht="15">
      <c r="A58" s="398">
        <v>8</v>
      </c>
      <c r="B58" s="401" t="s">
        <v>196</v>
      </c>
      <c r="C58" s="334">
        <v>1185.4213712525086</v>
      </c>
      <c r="D58" s="402">
        <v>2358.558</v>
      </c>
    </row>
    <row r="59" spans="1:4" ht="15">
      <c r="A59" s="398">
        <v>8</v>
      </c>
      <c r="B59" s="401" t="s">
        <v>101</v>
      </c>
      <c r="C59" s="334">
        <v>448.88063183354768</v>
      </c>
      <c r="D59" s="402">
        <v>2669.7470000000003</v>
      </c>
    </row>
    <row r="60" spans="1:4" ht="15">
      <c r="A60" s="398">
        <v>8</v>
      </c>
      <c r="B60" s="401" t="s">
        <v>102</v>
      </c>
      <c r="C60" s="334">
        <v>1136.2699480401097</v>
      </c>
      <c r="D60" s="402">
        <v>946</v>
      </c>
    </row>
    <row r="61" spans="1:4" ht="15">
      <c r="A61" s="398">
        <v>8</v>
      </c>
      <c r="B61" s="401" t="s">
        <v>103</v>
      </c>
      <c r="C61" s="334">
        <v>15778.789096748642</v>
      </c>
      <c r="D61" s="402">
        <v>40279</v>
      </c>
    </row>
    <row r="62" spans="1:4" ht="15">
      <c r="A62" s="398">
        <v>8</v>
      </c>
      <c r="B62" s="401" t="s">
        <v>104</v>
      </c>
      <c r="C62" s="334">
        <v>11498.585965084872</v>
      </c>
      <c r="D62" s="402">
        <v>7914.8220000000001</v>
      </c>
    </row>
    <row r="63" spans="1:4" ht="15">
      <c r="A63" s="398">
        <v>9</v>
      </c>
      <c r="B63" s="401" t="s">
        <v>105</v>
      </c>
      <c r="C63" s="334">
        <v>4068.6170872280327</v>
      </c>
      <c r="D63" s="402">
        <v>5521.1693802297541</v>
      </c>
    </row>
    <row r="64" spans="1:4" ht="15">
      <c r="A64" s="398">
        <v>9</v>
      </c>
      <c r="B64" s="401" t="s">
        <v>106</v>
      </c>
      <c r="C64" s="334">
        <v>3615.1180958219311</v>
      </c>
      <c r="D64" s="402">
        <v>2282.88</v>
      </c>
    </row>
    <row r="65" spans="1:4" ht="15">
      <c r="A65" s="398">
        <v>9</v>
      </c>
      <c r="B65" s="401" t="s">
        <v>107</v>
      </c>
      <c r="C65" s="334">
        <v>1408.0558820076619</v>
      </c>
      <c r="D65" s="402">
        <v>2625</v>
      </c>
    </row>
    <row r="66" spans="1:4" ht="15">
      <c r="A66" s="398">
        <v>9</v>
      </c>
      <c r="B66" s="401" t="s">
        <v>108</v>
      </c>
      <c r="C66" s="334">
        <v>36127.337586965223</v>
      </c>
      <c r="D66" s="402">
        <v>29715.066000000003</v>
      </c>
    </row>
    <row r="67" spans="1:4" ht="15">
      <c r="A67" s="398">
        <v>9</v>
      </c>
      <c r="B67" s="401" t="s">
        <v>109</v>
      </c>
      <c r="C67" s="334">
        <v>7418.6759874289846</v>
      </c>
      <c r="D67" s="403">
        <v>18417</v>
      </c>
    </row>
    <row r="68" spans="1:4" ht="15">
      <c r="A68" s="398">
        <v>10</v>
      </c>
      <c r="B68" s="401" t="s">
        <v>110</v>
      </c>
      <c r="C68" s="334">
        <v>51046.137239331278</v>
      </c>
      <c r="D68" s="402">
        <v>40636.978999999999</v>
      </c>
    </row>
    <row r="69" spans="1:4" ht="15">
      <c r="A69" s="398">
        <v>11</v>
      </c>
      <c r="B69" s="401" t="s">
        <v>111</v>
      </c>
      <c r="C69" s="334">
        <v>113467.27400899208</v>
      </c>
      <c r="D69" s="402">
        <v>113000.28499999997</v>
      </c>
    </row>
    <row r="70" spans="1:4" ht="15">
      <c r="A70" s="398">
        <v>11</v>
      </c>
      <c r="B70" s="401" t="s">
        <v>112</v>
      </c>
      <c r="C70" s="334">
        <v>2262.885394837172</v>
      </c>
      <c r="D70" s="402">
        <v>12081</v>
      </c>
    </row>
    <row r="72" spans="1:4" ht="15">
      <c r="C72" s="399">
        <f>SUM(C4:C70)</f>
        <v>527808.78972678492</v>
      </c>
      <c r="D72" s="400">
        <f>SUM(D4:D70)</f>
        <v>878153.92238022992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396B1E6D2AE4D4FA19CB1530F19D72E" ma:contentTypeVersion="2" ma:contentTypeDescription="Create a new document." ma:contentTypeScope="" ma:versionID="e7d21dafb1d55ad069de243acef4d49e">
  <xsd:schema xmlns:xsd="http://www.w3.org/2001/XMLSchema" xmlns:xs="http://www.w3.org/2001/XMLSchema" xmlns:p="http://schemas.microsoft.com/office/2006/metadata/properties" xmlns:ns2="a010d417-0516-4c2d-b3c3-9d84410fa6ae" targetNamespace="http://schemas.microsoft.com/office/2006/metadata/properties" ma:root="true" ma:fieldsID="1fa7653fd680b430e740c0c9fc9b0203" ns2:_="">
    <xsd:import namespace="a010d417-0516-4c2d-b3c3-9d84410fa6a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10d417-0516-4c2d-b3c3-9d84410fa6a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a010d417-0516-4c2d-b3c3-9d84410fa6ae">
      <UserInfo>
        <DisplayName>Marsha L Griffin</DisplayName>
        <AccountId>68</AccountId>
        <AccountType/>
      </UserInfo>
      <UserInfo>
        <DisplayName>Marcene Walsh</DisplayName>
        <AccountId>88</AccountId>
        <AccountType/>
      </UserInfo>
    </SharedWithUser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60EB43D-876E-452F-9D55-6A21481B4A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010d417-0516-4c2d-b3c3-9d84410fa6a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25F32B8-18AE-48B7-902E-952EAB9CCBAF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a010d417-0516-4c2d-b3c3-9d84410fa6ae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48090C87-5ABA-44F8-856A-3D0F5CB64B0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4</vt:i4>
      </vt:variant>
    </vt:vector>
  </HeadingPairs>
  <TitlesOfParts>
    <vt:vector size="16" baseType="lpstr">
      <vt:lpstr>Summary by AAA</vt:lpstr>
      <vt:lpstr>2016 Award #2</vt:lpstr>
      <vt:lpstr>2016 Svcs &amp; Admin Allocation</vt:lpstr>
      <vt:lpstr>2016 Title III-D Allocation</vt:lpstr>
      <vt:lpstr>2016 Admin Formula </vt:lpstr>
      <vt:lpstr>Pivot - Demographics</vt:lpstr>
      <vt:lpstr>Demographics</vt:lpstr>
      <vt:lpstr>Pivot - IIID</vt:lpstr>
      <vt:lpstr>FPL &amp; MU</vt:lpstr>
      <vt:lpstr>2003 Admin</vt:lpstr>
      <vt:lpstr>2003 Base Factors</vt:lpstr>
      <vt:lpstr>2003 Demographics</vt:lpstr>
      <vt:lpstr>'2016 Admin Formula '!Print_Area</vt:lpstr>
      <vt:lpstr>'2016 Award #2'!Print_Area</vt:lpstr>
      <vt:lpstr>'2016 Title III-D Allocation'!Print_Area</vt:lpstr>
      <vt:lpstr>Demographics!Print_Titles</vt:lpstr>
    </vt:vector>
  </TitlesOfParts>
  <Company>DOEA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user</dc:creator>
  <cp:lastModifiedBy>Norine Tindall</cp:lastModifiedBy>
  <cp:lastPrinted>2016-04-01T19:49:23Z</cp:lastPrinted>
  <dcterms:created xsi:type="dcterms:W3CDTF">2011-06-09T17:24:00Z</dcterms:created>
  <dcterms:modified xsi:type="dcterms:W3CDTF">2016-04-14T19:34:30Z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0x0101005396B1E6D2AE4D4FA19CB1530F19D72E</vt:lpwstr>
  </property>
</Properties>
</file>