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ldoea.sharepoint.com/sites/FA/Shared Documents/CHIEF/OAA Funding Allocation/2014-2015/"/>
    </mc:Choice>
  </mc:AlternateContent>
  <bookViews>
    <workbookView xWindow="0" yWindow="0" windowWidth="19200" windowHeight="11595" tabRatio="838"/>
  </bookViews>
  <sheets>
    <sheet name="Summary by AAA" sheetId="27" r:id="rId1"/>
    <sheet name="2015 Award #2" sheetId="8" r:id="rId2"/>
    <sheet name="2015 Svcs &amp; Admin Allocation" sheetId="1" r:id="rId3"/>
    <sheet name="2015 Admin Formula " sheetId="26" r:id="rId4"/>
    <sheet name="2015 Title III-D Allocation" sheetId="13" r:id="rId5"/>
    <sheet name="Pivot - Demographics" sheetId="6" r:id="rId6"/>
    <sheet name="Demographics" sheetId="4" r:id="rId7"/>
    <sheet name="2003 Admin" sheetId="20" r:id="rId8"/>
    <sheet name="2003 Base Factors" sheetId="19" r:id="rId9"/>
    <sheet name="2003 Demographics" sheetId="17" r:id="rId10"/>
  </sheets>
  <externalReferences>
    <externalReference r:id="rId11"/>
    <externalReference r:id="rId12"/>
  </externalReferences>
  <definedNames>
    <definedName name="_xlnm._FilterDatabase" localSheetId="9" hidden="1">'2003 Demographics'!$A$1:$F$68</definedName>
    <definedName name="Excel_BuiltIn_Print_Area" localSheetId="3">#REF!</definedName>
    <definedName name="Excel_BuiltIn_Print_Area" localSheetId="1">#REF!</definedName>
    <definedName name="Excel_BuiltIn_Print_Area" localSheetId="6">#REF!</definedName>
    <definedName name="Excel_BuiltIn_Print_Area">#REF!</definedName>
    <definedName name="_xlnm.Print_Area" localSheetId="3">'2015 Admin Formula '!$A$1:$M$27</definedName>
    <definedName name="_xlnm.Print_Area" localSheetId="1">'2015 Award #2'!$A$1:$I$46</definedName>
    <definedName name="_xlnm.Print_Area" localSheetId="4">'2015 Title III-D Allocation'!$A$1:$BA$26</definedName>
    <definedName name="_xlnm.Print_Area">#REF!</definedName>
    <definedName name="_xlnm.Print_Titles" localSheetId="6">Demographics!$3:$3</definedName>
  </definedNames>
  <calcPr calcId="152511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F12" i="1" l="1"/>
  <c r="C17" i="8" l="1"/>
  <c r="B17" i="8" l="1"/>
  <c r="F72" i="4"/>
  <c r="E72" i="4"/>
  <c r="D72" i="4"/>
  <c r="C72" i="4"/>
  <c r="D18" i="13"/>
  <c r="C18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D8" i="13"/>
  <c r="C8" i="13"/>
  <c r="G23" i="8" l="1"/>
  <c r="E23" i="8"/>
  <c r="D23" i="8"/>
  <c r="G17" i="8"/>
  <c r="F17" i="8"/>
  <c r="E17" i="8"/>
  <c r="D17" i="8"/>
  <c r="BD24" i="13" l="1"/>
  <c r="BC24" i="13"/>
  <c r="BB24" i="13"/>
  <c r="BH23" i="13"/>
  <c r="BH25" i="13" s="1"/>
  <c r="BG23" i="13"/>
  <c r="BH19" i="13"/>
  <c r="BH24" i="13" s="1"/>
  <c r="BG19" i="13"/>
  <c r="BG24" i="13" s="1"/>
  <c r="BG25" i="13" s="1"/>
  <c r="D19" i="13" l="1"/>
  <c r="B19" i="13"/>
  <c r="C24" i="13" s="1"/>
  <c r="AA24" i="13" s="1"/>
  <c r="C19" i="13"/>
  <c r="E9" i="13" l="1"/>
  <c r="F9" i="13" s="1"/>
  <c r="E11" i="13"/>
  <c r="F11" i="13" s="1"/>
  <c r="E15" i="13"/>
  <c r="F15" i="13" s="1"/>
  <c r="E17" i="13"/>
  <c r="F17" i="13" s="1"/>
  <c r="E13" i="13"/>
  <c r="F13" i="13" s="1"/>
  <c r="E12" i="13"/>
  <c r="F12" i="13" s="1"/>
  <c r="E8" i="13"/>
  <c r="F8" i="13" s="1"/>
  <c r="E16" i="13"/>
  <c r="F16" i="13" s="1"/>
  <c r="E14" i="13"/>
  <c r="F14" i="13" s="1"/>
  <c r="E18" i="13"/>
  <c r="F18" i="13" s="1"/>
  <c r="E10" i="13"/>
  <c r="F10" i="13" s="1"/>
  <c r="AY24" i="13"/>
  <c r="AO24" i="13"/>
  <c r="M24" i="13"/>
  <c r="AV24" i="13"/>
  <c r="T24" i="13"/>
  <c r="AH24" i="13"/>
  <c r="A1" i="27" l="1"/>
  <c r="L11" i="8" l="1"/>
  <c r="L10" i="8"/>
  <c r="K11" i="8"/>
  <c r="K10" i="8"/>
  <c r="L12" i="8" l="1"/>
  <c r="K12" i="8"/>
  <c r="S29" i="1"/>
  <c r="O29" i="1"/>
  <c r="K29" i="1"/>
  <c r="S8" i="1" l="1"/>
  <c r="O8" i="1"/>
  <c r="K8" i="1"/>
  <c r="G29" i="1" l="1"/>
  <c r="G8" i="1" l="1"/>
  <c r="C21" i="26" l="1"/>
  <c r="C20" i="26"/>
  <c r="C19" i="26"/>
  <c r="C18" i="26"/>
  <c r="C17" i="26"/>
  <c r="C16" i="26"/>
  <c r="C15" i="26"/>
  <c r="C14" i="26"/>
  <c r="C13" i="26"/>
  <c r="C12" i="26"/>
  <c r="C11" i="26"/>
  <c r="L25" i="26" l="1"/>
  <c r="G22" i="26"/>
  <c r="H21" i="26" s="1"/>
  <c r="E22" i="26"/>
  <c r="F17" i="26" s="1"/>
  <c r="C22" i="26"/>
  <c r="F13" i="26" l="1"/>
  <c r="F12" i="26"/>
  <c r="F16" i="26"/>
  <c r="F15" i="26"/>
  <c r="F14" i="26"/>
  <c r="F21" i="26"/>
  <c r="F20" i="26"/>
  <c r="F11" i="26"/>
  <c r="F19" i="26"/>
  <c r="F18" i="26"/>
  <c r="H17" i="26"/>
  <c r="H11" i="26"/>
  <c r="H15" i="26"/>
  <c r="H14" i="26"/>
  <c r="H16" i="26"/>
  <c r="H20" i="26"/>
  <c r="H18" i="26"/>
  <c r="H13" i="26"/>
  <c r="H12" i="26"/>
  <c r="H19" i="26"/>
  <c r="D14" i="26"/>
  <c r="D16" i="26"/>
  <c r="D18" i="26"/>
  <c r="D20" i="26"/>
  <c r="D12" i="26"/>
  <c r="D13" i="26"/>
  <c r="D15" i="26"/>
  <c r="D17" i="26"/>
  <c r="D19" i="26"/>
  <c r="D21" i="26"/>
  <c r="I21" i="26" s="1"/>
  <c r="D11" i="26"/>
  <c r="I14" i="26" l="1"/>
  <c r="I13" i="26"/>
  <c r="I12" i="26"/>
  <c r="I17" i="26"/>
  <c r="H22" i="26"/>
  <c r="I16" i="26"/>
  <c r="I18" i="26"/>
  <c r="F22" i="26"/>
  <c r="I20" i="26"/>
  <c r="I15" i="26"/>
  <c r="I19" i="26"/>
  <c r="I11" i="26"/>
  <c r="D22" i="26"/>
  <c r="I22" i="26" l="1"/>
  <c r="I20" i="8" l="1"/>
  <c r="H19" i="8"/>
  <c r="B19" i="8" s="1"/>
  <c r="B16" i="8" l="1"/>
  <c r="H12" i="8"/>
  <c r="H13" i="8" s="1"/>
  <c r="I12" i="8"/>
  <c r="I13" i="8" s="1"/>
  <c r="G12" i="8"/>
  <c r="G13" i="8" s="1"/>
  <c r="F12" i="8"/>
  <c r="F13" i="8" s="1"/>
  <c r="E12" i="8"/>
  <c r="E13" i="8" s="1"/>
  <c r="D12" i="8"/>
  <c r="D13" i="8" s="1"/>
  <c r="C12" i="8"/>
  <c r="C13" i="8" s="1"/>
  <c r="B10" i="8"/>
  <c r="B12" i="8" l="1"/>
  <c r="B13" i="8" s="1"/>
  <c r="G23" i="20" l="1"/>
  <c r="H21" i="20" s="1"/>
  <c r="E23" i="20"/>
  <c r="F16" i="20" s="1"/>
  <c r="C23" i="20"/>
  <c r="D13" i="20" s="1"/>
  <c r="B21" i="20"/>
  <c r="B20" i="20"/>
  <c r="B19" i="20"/>
  <c r="B18" i="20"/>
  <c r="B17" i="20"/>
  <c r="B16" i="20"/>
  <c r="H15" i="20"/>
  <c r="D15" i="20"/>
  <c r="B15" i="20"/>
  <c r="B14" i="20"/>
  <c r="B13" i="20"/>
  <c r="D12" i="20"/>
  <c r="F15" i="19"/>
  <c r="C22" i="1" s="1"/>
  <c r="F14" i="19"/>
  <c r="C21" i="1" s="1"/>
  <c r="F13" i="19"/>
  <c r="C20" i="1" s="1"/>
  <c r="F12" i="19"/>
  <c r="C19" i="1" s="1"/>
  <c r="F11" i="19"/>
  <c r="C18" i="1" s="1"/>
  <c r="F10" i="19"/>
  <c r="C17" i="1" s="1"/>
  <c r="F9" i="19"/>
  <c r="C16" i="1" s="1"/>
  <c r="F8" i="19"/>
  <c r="C15" i="1" s="1"/>
  <c r="F7" i="19"/>
  <c r="C14" i="1" s="1"/>
  <c r="F6" i="19"/>
  <c r="C13" i="1" s="1"/>
  <c r="F5" i="19"/>
  <c r="C12" i="1" s="1"/>
  <c r="C23" i="1" l="1"/>
  <c r="F12" i="20"/>
  <c r="B23" i="20"/>
  <c r="J26" i="20" s="1"/>
  <c r="H12" i="20"/>
  <c r="F17" i="20"/>
  <c r="F15" i="20"/>
  <c r="I15" i="20" s="1"/>
  <c r="H20" i="20"/>
  <c r="D18" i="20"/>
  <c r="D11" i="20"/>
  <c r="D14" i="20"/>
  <c r="D17" i="20"/>
  <c r="F20" i="20"/>
  <c r="F13" i="20"/>
  <c r="D16" i="20"/>
  <c r="D20" i="20"/>
  <c r="D19" i="20"/>
  <c r="F21" i="20"/>
  <c r="D21" i="20"/>
  <c r="H18" i="20"/>
  <c r="F18" i="20"/>
  <c r="H11" i="20"/>
  <c r="H14" i="20"/>
  <c r="F14" i="20"/>
  <c r="H19" i="20"/>
  <c r="H16" i="20"/>
  <c r="F19" i="20"/>
  <c r="H17" i="20"/>
  <c r="F11" i="20"/>
  <c r="H13" i="20"/>
  <c r="F16" i="19"/>
  <c r="I13" i="20" l="1"/>
  <c r="I12" i="20"/>
  <c r="J12" i="20" s="1"/>
  <c r="K12" i="20" s="1"/>
  <c r="I20" i="20"/>
  <c r="J20" i="20" s="1"/>
  <c r="K20" i="20" s="1"/>
  <c r="J15" i="20"/>
  <c r="K15" i="20" s="1"/>
  <c r="I16" i="20"/>
  <c r="J16" i="20" s="1"/>
  <c r="K16" i="20" s="1"/>
  <c r="J13" i="20"/>
  <c r="K13" i="20" s="1"/>
  <c r="D23" i="20"/>
  <c r="I17" i="20"/>
  <c r="J17" i="20" s="1"/>
  <c r="K17" i="20" s="1"/>
  <c r="I18" i="20"/>
  <c r="J18" i="20" s="1"/>
  <c r="K18" i="20" s="1"/>
  <c r="I19" i="20"/>
  <c r="J19" i="20" s="1"/>
  <c r="K19" i="20" s="1"/>
  <c r="H23" i="20"/>
  <c r="I21" i="20"/>
  <c r="J21" i="20" s="1"/>
  <c r="K21" i="20" s="1"/>
  <c r="F23" i="20"/>
  <c r="I11" i="20"/>
  <c r="J11" i="20" s="1"/>
  <c r="I14" i="20"/>
  <c r="J14" i="20" s="1"/>
  <c r="K14" i="20" s="1"/>
  <c r="I23" i="20" l="1"/>
  <c r="J23" i="20" l="1"/>
  <c r="K11" i="20"/>
  <c r="K23" i="20" l="1"/>
  <c r="L11" i="20" s="1"/>
  <c r="M11" i="20" s="1"/>
  <c r="L19" i="20" l="1"/>
  <c r="M19" i="20" s="1"/>
  <c r="L17" i="20"/>
  <c r="M17" i="20" s="1"/>
  <c r="L16" i="20"/>
  <c r="M16" i="20" s="1"/>
  <c r="L15" i="20"/>
  <c r="M15" i="20" s="1"/>
  <c r="L20" i="20"/>
  <c r="M20" i="20" s="1"/>
  <c r="L18" i="20"/>
  <c r="M18" i="20" s="1"/>
  <c r="L13" i="20"/>
  <c r="M13" i="20" s="1"/>
  <c r="L21" i="20"/>
  <c r="M21" i="20" s="1"/>
  <c r="L12" i="20"/>
  <c r="M12" i="20" s="1"/>
  <c r="L14" i="20"/>
  <c r="M14" i="20" s="1"/>
  <c r="M23" i="20" l="1"/>
  <c r="L23" i="20"/>
  <c r="A1" i="1" l="1"/>
  <c r="A1" i="26" s="1"/>
  <c r="F26" i="8" l="1"/>
  <c r="Q22" i="1" l="1"/>
  <c r="Q23" i="1"/>
  <c r="G22" i="8" l="1"/>
  <c r="F22" i="8"/>
  <c r="E22" i="8"/>
  <c r="D22" i="8"/>
  <c r="G24" i="13" l="1"/>
  <c r="E24" i="13"/>
  <c r="C25" i="13"/>
  <c r="C22" i="8"/>
  <c r="C23" i="8" s="1"/>
  <c r="B23" i="8" s="1"/>
  <c r="I10" i="13" l="1"/>
  <c r="J10" i="13" s="1"/>
  <c r="K10" i="13"/>
  <c r="I13" i="13"/>
  <c r="J13" i="13" s="1"/>
  <c r="K13" i="13"/>
  <c r="I17" i="13"/>
  <c r="J17" i="13" s="1"/>
  <c r="K17" i="13"/>
  <c r="I11" i="13"/>
  <c r="J11" i="13" s="1"/>
  <c r="K11" i="13"/>
  <c r="I15" i="13"/>
  <c r="J15" i="13" s="1"/>
  <c r="K15" i="13"/>
  <c r="K16" i="13"/>
  <c r="I16" i="13"/>
  <c r="J16" i="13" s="1"/>
  <c r="K8" i="13"/>
  <c r="E19" i="13"/>
  <c r="E23" i="13" s="1"/>
  <c r="E25" i="13" s="1"/>
  <c r="I8" i="13"/>
  <c r="J8" i="13" s="1"/>
  <c r="K12" i="13"/>
  <c r="I12" i="13"/>
  <c r="J12" i="13" s="1"/>
  <c r="K18" i="13"/>
  <c r="I18" i="13"/>
  <c r="J18" i="13" s="1"/>
  <c r="I14" i="13"/>
  <c r="J14" i="13" s="1"/>
  <c r="K14" i="13"/>
  <c r="K9" i="13"/>
  <c r="I9" i="13"/>
  <c r="J9" i="13" s="1"/>
  <c r="I44" i="8"/>
  <c r="B20" i="8"/>
  <c r="B11" i="8"/>
  <c r="F15" i="6"/>
  <c r="D22" i="1" s="1"/>
  <c r="S22" i="1" s="1"/>
  <c r="F14" i="6"/>
  <c r="D21" i="1" s="1"/>
  <c r="S21" i="1" s="1"/>
  <c r="F13" i="6"/>
  <c r="D20" i="1" s="1"/>
  <c r="S20" i="1" s="1"/>
  <c r="F12" i="6"/>
  <c r="D19" i="1" s="1"/>
  <c r="S19" i="1" s="1"/>
  <c r="F11" i="6"/>
  <c r="D18" i="1" s="1"/>
  <c r="S18" i="1" s="1"/>
  <c r="F10" i="6"/>
  <c r="D17" i="1" s="1"/>
  <c r="S17" i="1" s="1"/>
  <c r="F9" i="6"/>
  <c r="D16" i="1" s="1"/>
  <c r="S16" i="1" s="1"/>
  <c r="F8" i="6"/>
  <c r="D15" i="1" s="1"/>
  <c r="S15" i="1" s="1"/>
  <c r="F7" i="6"/>
  <c r="D14" i="1" s="1"/>
  <c r="S14" i="1" s="1"/>
  <c r="F6" i="6"/>
  <c r="D13" i="1" s="1"/>
  <c r="S13" i="1" s="1"/>
  <c r="F5" i="6"/>
  <c r="D12" i="1" s="1"/>
  <c r="E23" i="1"/>
  <c r="M22" i="1"/>
  <c r="M23" i="1" s="1"/>
  <c r="N28" i="1" s="1"/>
  <c r="I22" i="1"/>
  <c r="J12" i="1" l="1"/>
  <c r="L12" i="1" s="1"/>
  <c r="N12" i="1"/>
  <c r="L14" i="13"/>
  <c r="M14" i="13" s="1"/>
  <c r="O14" i="13" s="1"/>
  <c r="P14" i="13" s="1"/>
  <c r="R14" i="13" s="1"/>
  <c r="S14" i="13" s="1"/>
  <c r="J19" i="13"/>
  <c r="L9" i="13" s="1"/>
  <c r="M9" i="13" s="1"/>
  <c r="K19" i="13"/>
  <c r="L8" i="13"/>
  <c r="F19" i="13"/>
  <c r="S12" i="1"/>
  <c r="S23" i="1" s="1"/>
  <c r="S30" i="1" s="1"/>
  <c r="S31" i="1" s="1"/>
  <c r="E26" i="8"/>
  <c r="G13" i="1"/>
  <c r="K13" i="1"/>
  <c r="O13" i="1"/>
  <c r="G19" i="1"/>
  <c r="K19" i="1"/>
  <c r="O19" i="1"/>
  <c r="G18" i="1"/>
  <c r="K18" i="1"/>
  <c r="O18" i="1"/>
  <c r="G17" i="1"/>
  <c r="K17" i="1"/>
  <c r="O17" i="1"/>
  <c r="G14" i="1"/>
  <c r="O14" i="1"/>
  <c r="K14" i="1"/>
  <c r="G16" i="1"/>
  <c r="O16" i="1"/>
  <c r="K16" i="1"/>
  <c r="G15" i="1"/>
  <c r="O15" i="1"/>
  <c r="K15" i="1"/>
  <c r="G22" i="1"/>
  <c r="K22" i="1"/>
  <c r="O22" i="1"/>
  <c r="G21" i="1"/>
  <c r="K21" i="1"/>
  <c r="O21" i="1"/>
  <c r="G12" i="1"/>
  <c r="O12" i="1"/>
  <c r="K12" i="1"/>
  <c r="G20" i="1"/>
  <c r="K20" i="1"/>
  <c r="O20" i="1"/>
  <c r="I45" i="8"/>
  <c r="I46" i="8" s="1"/>
  <c r="G24" i="8"/>
  <c r="R27" i="1" s="1"/>
  <c r="F24" i="8"/>
  <c r="E24" i="8"/>
  <c r="N27" i="1" s="1"/>
  <c r="B22" i="8"/>
  <c r="D23" i="1"/>
  <c r="F28" i="1"/>
  <c r="F16" i="6"/>
  <c r="I23" i="1"/>
  <c r="J28" i="1" s="1"/>
  <c r="R28" i="1"/>
  <c r="G14" i="13" l="1"/>
  <c r="H14" i="13" s="1"/>
  <c r="G10" i="13"/>
  <c r="H10" i="13" s="1"/>
  <c r="G11" i="13"/>
  <c r="H11" i="13" s="1"/>
  <c r="G9" i="13"/>
  <c r="H9" i="13" s="1"/>
  <c r="G15" i="13"/>
  <c r="H15" i="13" s="1"/>
  <c r="G8" i="13"/>
  <c r="H8" i="13" s="1"/>
  <c r="G12" i="13"/>
  <c r="H12" i="13" s="1"/>
  <c r="G13" i="13"/>
  <c r="H13" i="13" s="1"/>
  <c r="G16" i="13"/>
  <c r="H16" i="13" s="1"/>
  <c r="G18" i="13"/>
  <c r="H18" i="13" s="1"/>
  <c r="G17" i="13"/>
  <c r="H17" i="13" s="1"/>
  <c r="N14" i="13"/>
  <c r="L18" i="13"/>
  <c r="M18" i="13" s="1"/>
  <c r="L13" i="13"/>
  <c r="M13" i="13" s="1"/>
  <c r="L15" i="13"/>
  <c r="M15" i="13" s="1"/>
  <c r="L17" i="13"/>
  <c r="M17" i="13" s="1"/>
  <c r="L16" i="13"/>
  <c r="M16" i="13" s="1"/>
  <c r="L10" i="13"/>
  <c r="M10" i="13" s="1"/>
  <c r="N10" i="13" s="1"/>
  <c r="L12" i="13"/>
  <c r="M12" i="13" s="1"/>
  <c r="N12" i="13" s="1"/>
  <c r="L11" i="13"/>
  <c r="M11" i="13" s="1"/>
  <c r="BB11" i="13"/>
  <c r="BC17" i="13"/>
  <c r="F21" i="27"/>
  <c r="M8" i="13"/>
  <c r="Q14" i="13"/>
  <c r="T14" i="13" s="1"/>
  <c r="N9" i="13"/>
  <c r="O9" i="13"/>
  <c r="P9" i="13" s="1"/>
  <c r="R9" i="13" s="1"/>
  <c r="S9" i="13" s="1"/>
  <c r="F18" i="27"/>
  <c r="C26" i="8"/>
  <c r="B26" i="8" s="1"/>
  <c r="D26" i="8"/>
  <c r="J25" i="26"/>
  <c r="K25" i="26" s="1"/>
  <c r="M25" i="26" s="1"/>
  <c r="G23" i="1"/>
  <c r="G30" i="1" s="1"/>
  <c r="G31" i="1" s="1"/>
  <c r="O23" i="1"/>
  <c r="O30" i="1" s="1"/>
  <c r="O31" i="1" s="1"/>
  <c r="K23" i="1"/>
  <c r="K30" i="1" s="1"/>
  <c r="K31" i="1" s="1"/>
  <c r="N29" i="1"/>
  <c r="N8" i="1" s="1"/>
  <c r="E28" i="8"/>
  <c r="F28" i="8"/>
  <c r="R29" i="1"/>
  <c r="R8" i="1" s="1"/>
  <c r="R12" i="1" s="1"/>
  <c r="G28" i="8"/>
  <c r="G26" i="8"/>
  <c r="C24" i="8"/>
  <c r="F27" i="1" s="1"/>
  <c r="D24" i="8"/>
  <c r="J27" i="1" s="1"/>
  <c r="B24" i="8"/>
  <c r="BC14" i="13" l="1"/>
  <c r="BC9" i="13"/>
  <c r="BB14" i="13"/>
  <c r="BB16" i="13"/>
  <c r="F20" i="27"/>
  <c r="BB17" i="13"/>
  <c r="BD17" i="13" s="1"/>
  <c r="BF17" i="13" s="1"/>
  <c r="BC16" i="13"/>
  <c r="BD16" i="13" s="1"/>
  <c r="BF16" i="13" s="1"/>
  <c r="BB13" i="13"/>
  <c r="BC13" i="13"/>
  <c r="F17" i="27"/>
  <c r="F15" i="27"/>
  <c r="BC11" i="13"/>
  <c r="BD11" i="13" s="1"/>
  <c r="BF11" i="13" s="1"/>
  <c r="BC18" i="13"/>
  <c r="O12" i="13"/>
  <c r="P12" i="13" s="1"/>
  <c r="R12" i="13" s="1"/>
  <c r="S12" i="13" s="1"/>
  <c r="O10" i="13"/>
  <c r="P10" i="13" s="1"/>
  <c r="R10" i="13" s="1"/>
  <c r="S10" i="13" s="1"/>
  <c r="N16" i="13"/>
  <c r="O16" i="13"/>
  <c r="P16" i="13" s="1"/>
  <c r="R16" i="13" s="1"/>
  <c r="L19" i="13"/>
  <c r="O17" i="13"/>
  <c r="P17" i="13" s="1"/>
  <c r="R17" i="13" s="1"/>
  <c r="S17" i="13" s="1"/>
  <c r="N17" i="13"/>
  <c r="O15" i="13"/>
  <c r="P15" i="13" s="1"/>
  <c r="R15" i="13" s="1"/>
  <c r="N15" i="13"/>
  <c r="F22" i="27"/>
  <c r="F13" i="27"/>
  <c r="N13" i="13"/>
  <c r="O13" i="13"/>
  <c r="P13" i="13" s="1"/>
  <c r="N11" i="13"/>
  <c r="O11" i="13"/>
  <c r="P11" i="13" s="1"/>
  <c r="N18" i="13"/>
  <c r="O18" i="13"/>
  <c r="P18" i="13" s="1"/>
  <c r="BB18" i="13"/>
  <c r="BB9" i="13"/>
  <c r="BD9" i="13" s="1"/>
  <c r="BF9" i="13" s="1"/>
  <c r="BD14" i="13"/>
  <c r="BF14" i="13" s="1"/>
  <c r="Q9" i="13"/>
  <c r="T9" i="13" s="1"/>
  <c r="U14" i="13"/>
  <c r="V14" i="13"/>
  <c r="W14" i="13" s="1"/>
  <c r="Y14" i="13" s="1"/>
  <c r="Z14" i="13" s="1"/>
  <c r="N8" i="13"/>
  <c r="O8" i="13"/>
  <c r="M19" i="13"/>
  <c r="M23" i="13" s="1"/>
  <c r="M25" i="13" s="1"/>
  <c r="BC10" i="13"/>
  <c r="BB10" i="13"/>
  <c r="F14" i="27"/>
  <c r="BB8" i="13"/>
  <c r="G19" i="13"/>
  <c r="BC8" i="13"/>
  <c r="BC19" i="13" s="1"/>
  <c r="BC23" i="13" s="1"/>
  <c r="BC25" i="13" s="1"/>
  <c r="F12" i="27"/>
  <c r="BC12" i="13"/>
  <c r="BB12" i="13"/>
  <c r="F16" i="27"/>
  <c r="BB15" i="13"/>
  <c r="BC15" i="13"/>
  <c r="F19" i="27"/>
  <c r="N18" i="1"/>
  <c r="P18" i="1" s="1"/>
  <c r="E18" i="27" s="1"/>
  <c r="N19" i="1"/>
  <c r="N21" i="1"/>
  <c r="P21" i="1" s="1"/>
  <c r="E21" i="27" s="1"/>
  <c r="N16" i="1"/>
  <c r="P16" i="1" s="1"/>
  <c r="E16" i="27" s="1"/>
  <c r="N14" i="1"/>
  <c r="P14" i="1" s="1"/>
  <c r="E14" i="27" s="1"/>
  <c r="N13" i="1"/>
  <c r="P13" i="1" s="1"/>
  <c r="E13" i="27" s="1"/>
  <c r="N20" i="1"/>
  <c r="P20" i="1" s="1"/>
  <c r="E20" i="27" s="1"/>
  <c r="P12" i="1"/>
  <c r="E12" i="27" s="1"/>
  <c r="N17" i="1"/>
  <c r="P17" i="1" s="1"/>
  <c r="E17" i="27" s="1"/>
  <c r="N15" i="1"/>
  <c r="P15" i="1" s="1"/>
  <c r="E15" i="27" s="1"/>
  <c r="N22" i="1"/>
  <c r="P22" i="1" s="1"/>
  <c r="E22" i="27" s="1"/>
  <c r="R17" i="1"/>
  <c r="T17" i="1" s="1"/>
  <c r="G17" i="27" s="1"/>
  <c r="R18" i="1"/>
  <c r="T18" i="1" s="1"/>
  <c r="G18" i="27" s="1"/>
  <c r="R19" i="1"/>
  <c r="T19" i="1" s="1"/>
  <c r="G19" i="27" s="1"/>
  <c r="R20" i="1"/>
  <c r="T20" i="1" s="1"/>
  <c r="G20" i="27" s="1"/>
  <c r="R21" i="1"/>
  <c r="T21" i="1" s="1"/>
  <c r="G21" i="27" s="1"/>
  <c r="R13" i="1"/>
  <c r="T13" i="1" s="1"/>
  <c r="G13" i="27" s="1"/>
  <c r="R14" i="1"/>
  <c r="T14" i="1" s="1"/>
  <c r="G14" i="27" s="1"/>
  <c r="R22" i="1"/>
  <c r="T22" i="1" s="1"/>
  <c r="G22" i="27" s="1"/>
  <c r="T12" i="1"/>
  <c r="G12" i="27" s="1"/>
  <c r="R15" i="1"/>
  <c r="T15" i="1" s="1"/>
  <c r="G15" i="27" s="1"/>
  <c r="R16" i="1"/>
  <c r="T16" i="1" s="1"/>
  <c r="G16" i="27" s="1"/>
  <c r="C28" i="8"/>
  <c r="J29" i="1"/>
  <c r="J8" i="1" s="1"/>
  <c r="D28" i="8"/>
  <c r="F29" i="1"/>
  <c r="F8" i="1" s="1"/>
  <c r="BD13" i="13" l="1"/>
  <c r="BF13" i="13" s="1"/>
  <c r="BD18" i="13"/>
  <c r="BF18" i="13" s="1"/>
  <c r="BD15" i="13"/>
  <c r="BF15" i="13" s="1"/>
  <c r="Q16" i="13"/>
  <c r="Q12" i="13"/>
  <c r="T12" i="13" s="1"/>
  <c r="X14" i="13"/>
  <c r="AA14" i="13" s="1"/>
  <c r="AC14" i="13" s="1"/>
  <c r="AD14" i="13" s="1"/>
  <c r="AF14" i="13" s="1"/>
  <c r="AG14" i="13" s="1"/>
  <c r="Q10" i="13"/>
  <c r="T10" i="13" s="1"/>
  <c r="BD10" i="13"/>
  <c r="BF10" i="13" s="1"/>
  <c r="Q17" i="13"/>
  <c r="T17" i="13" s="1"/>
  <c r="N19" i="13"/>
  <c r="R18" i="13"/>
  <c r="Q18" i="13"/>
  <c r="R13" i="13"/>
  <c r="Q13" i="13"/>
  <c r="Q15" i="13"/>
  <c r="R11" i="13"/>
  <c r="Q11" i="13"/>
  <c r="P8" i="13"/>
  <c r="O19" i="13"/>
  <c r="G23" i="13"/>
  <c r="G25" i="13" s="1"/>
  <c r="V9" i="13"/>
  <c r="W9" i="13" s="1"/>
  <c r="Y9" i="13" s="1"/>
  <c r="Z9" i="13" s="1"/>
  <c r="U9" i="13"/>
  <c r="F23" i="27"/>
  <c r="H19" i="13"/>
  <c r="AB14" i="13"/>
  <c r="BD12" i="13"/>
  <c r="BF12" i="13" s="1"/>
  <c r="BB19" i="13"/>
  <c r="BB23" i="13" s="1"/>
  <c r="BB25" i="13" s="1"/>
  <c r="BD8" i="13"/>
  <c r="G23" i="27"/>
  <c r="J16" i="1"/>
  <c r="L16" i="1" s="1"/>
  <c r="D16" i="27" s="1"/>
  <c r="J18" i="1"/>
  <c r="L18" i="1" s="1"/>
  <c r="D18" i="27" s="1"/>
  <c r="J19" i="1"/>
  <c r="L19" i="1" s="1"/>
  <c r="D19" i="27" s="1"/>
  <c r="J14" i="1"/>
  <c r="L14" i="1" s="1"/>
  <c r="D14" i="27" s="1"/>
  <c r="J21" i="1"/>
  <c r="L21" i="1" s="1"/>
  <c r="D21" i="27" s="1"/>
  <c r="J22" i="1"/>
  <c r="L22" i="1" s="1"/>
  <c r="D22" i="27" s="1"/>
  <c r="D12" i="27"/>
  <c r="J17" i="1"/>
  <c r="L17" i="1" s="1"/>
  <c r="D17" i="27" s="1"/>
  <c r="J13" i="1"/>
  <c r="L13" i="1" s="1"/>
  <c r="D13" i="27" s="1"/>
  <c r="J15" i="1"/>
  <c r="L15" i="1" s="1"/>
  <c r="D15" i="27" s="1"/>
  <c r="J20" i="1"/>
  <c r="L20" i="1" s="1"/>
  <c r="D20" i="27" s="1"/>
  <c r="F20" i="1"/>
  <c r="H20" i="1" s="1"/>
  <c r="C20" i="27" s="1"/>
  <c r="F21" i="1"/>
  <c r="H21" i="1" s="1"/>
  <c r="C21" i="27" s="1"/>
  <c r="F13" i="1"/>
  <c r="H13" i="1" s="1"/>
  <c r="C13" i="27" s="1"/>
  <c r="F22" i="1"/>
  <c r="H22" i="1" s="1"/>
  <c r="C22" i="27" s="1"/>
  <c r="F14" i="1"/>
  <c r="H12" i="1"/>
  <c r="C12" i="27" s="1"/>
  <c r="F15" i="1"/>
  <c r="H15" i="1" s="1"/>
  <c r="C15" i="27" s="1"/>
  <c r="F17" i="1"/>
  <c r="H17" i="1" s="1"/>
  <c r="C17" i="27" s="1"/>
  <c r="F16" i="1"/>
  <c r="H16" i="1" s="1"/>
  <c r="C16" i="27" s="1"/>
  <c r="F18" i="1"/>
  <c r="F19" i="1"/>
  <c r="H19" i="1" s="1"/>
  <c r="C19" i="27" s="1"/>
  <c r="B28" i="8"/>
  <c r="N23" i="1"/>
  <c r="N30" i="1" s="1"/>
  <c r="N31" i="1" s="1"/>
  <c r="P19" i="1"/>
  <c r="E19" i="27" s="1"/>
  <c r="R23" i="1"/>
  <c r="R30" i="1" s="1"/>
  <c r="R31" i="1" s="1"/>
  <c r="T23" i="1"/>
  <c r="U10" i="13" l="1"/>
  <c r="V10" i="13"/>
  <c r="W10" i="13" s="1"/>
  <c r="Y10" i="13" s="1"/>
  <c r="Z10" i="13" s="1"/>
  <c r="V12" i="13"/>
  <c r="W12" i="13" s="1"/>
  <c r="U12" i="13"/>
  <c r="X10" i="13"/>
  <c r="V17" i="13"/>
  <c r="W17" i="13" s="1"/>
  <c r="Y17" i="13" s="1"/>
  <c r="Z17" i="13" s="1"/>
  <c r="U17" i="13"/>
  <c r="AE14" i="13"/>
  <c r="AH14" i="13" s="1"/>
  <c r="R8" i="13"/>
  <c r="Q8" i="13"/>
  <c r="BD19" i="13"/>
  <c r="BF8" i="13"/>
  <c r="X9" i="13"/>
  <c r="AA9" i="13" s="1"/>
  <c r="J21" i="27"/>
  <c r="J22" i="27"/>
  <c r="J20" i="27"/>
  <c r="J13" i="27"/>
  <c r="J17" i="27"/>
  <c r="J15" i="27"/>
  <c r="J19" i="27"/>
  <c r="J16" i="27"/>
  <c r="J12" i="27"/>
  <c r="E23" i="27"/>
  <c r="D23" i="27"/>
  <c r="P23" i="1"/>
  <c r="X12" i="1"/>
  <c r="X17" i="1"/>
  <c r="L23" i="1"/>
  <c r="J23" i="1"/>
  <c r="J30" i="1" s="1"/>
  <c r="J31" i="1" s="1"/>
  <c r="X13" i="1"/>
  <c r="X19" i="1"/>
  <c r="X22" i="1"/>
  <c r="X15" i="1"/>
  <c r="X16" i="1"/>
  <c r="X20" i="1"/>
  <c r="X21" i="1"/>
  <c r="H18" i="1"/>
  <c r="C18" i="27" s="1"/>
  <c r="H14" i="1"/>
  <c r="C14" i="27" s="1"/>
  <c r="F23" i="1"/>
  <c r="F30" i="1" s="1"/>
  <c r="F31" i="1" s="1"/>
  <c r="AA10" i="13" l="1"/>
  <c r="AC10" i="13" s="1"/>
  <c r="AD10" i="13" s="1"/>
  <c r="AF10" i="13" s="1"/>
  <c r="AG10" i="13" s="1"/>
  <c r="Y12" i="13"/>
  <c r="Z12" i="13" s="1"/>
  <c r="X12" i="13"/>
  <c r="X17" i="13"/>
  <c r="AA17" i="13" s="1"/>
  <c r="BD23" i="13"/>
  <c r="BD25" i="13" s="1"/>
  <c r="BF19" i="13"/>
  <c r="AC9" i="13"/>
  <c r="AD9" i="13" s="1"/>
  <c r="AF9" i="13" s="1"/>
  <c r="AG9" i="13" s="1"/>
  <c r="AB9" i="13"/>
  <c r="AI14" i="13"/>
  <c r="AJ14" i="13"/>
  <c r="AK14" i="13" s="1"/>
  <c r="AM14" i="13" s="1"/>
  <c r="AN14" i="13" s="1"/>
  <c r="Q19" i="13"/>
  <c r="R19" i="13"/>
  <c r="S8" i="13"/>
  <c r="J14" i="27"/>
  <c r="J18" i="27"/>
  <c r="B20" i="26"/>
  <c r="B21" i="26"/>
  <c r="B19" i="26"/>
  <c r="B14" i="26"/>
  <c r="B12" i="26"/>
  <c r="C23" i="27"/>
  <c r="B11" i="26"/>
  <c r="B15" i="26"/>
  <c r="B16" i="26"/>
  <c r="B18" i="26"/>
  <c r="X18" i="1"/>
  <c r="X14" i="1"/>
  <c r="H23" i="1"/>
  <c r="AE10" i="13" l="1"/>
  <c r="AH10" i="13" s="1"/>
  <c r="AB10" i="13"/>
  <c r="AI10" i="13"/>
  <c r="AJ10" i="13"/>
  <c r="AK10" i="13" s="1"/>
  <c r="AM10" i="13" s="1"/>
  <c r="AN10" i="13" s="1"/>
  <c r="AA12" i="13"/>
  <c r="AB12" i="13" s="1"/>
  <c r="S16" i="13"/>
  <c r="T16" i="13" s="1"/>
  <c r="S15" i="13"/>
  <c r="T15" i="13" s="1"/>
  <c r="S13" i="13"/>
  <c r="T13" i="13" s="1"/>
  <c r="S18" i="13"/>
  <c r="T18" i="13" s="1"/>
  <c r="S11" i="13"/>
  <c r="T11" i="13" s="1"/>
  <c r="AC17" i="13"/>
  <c r="AD17" i="13" s="1"/>
  <c r="AF17" i="13" s="1"/>
  <c r="AG17" i="13" s="1"/>
  <c r="AB17" i="13"/>
  <c r="AL14" i="13"/>
  <c r="AL10" i="13"/>
  <c r="AE9" i="13"/>
  <c r="AH9" i="13" s="1"/>
  <c r="AO14" i="13"/>
  <c r="T8" i="13"/>
  <c r="J23" i="27"/>
  <c r="B13" i="26"/>
  <c r="B17" i="26"/>
  <c r="X23" i="1"/>
  <c r="AC12" i="13" l="1"/>
  <c r="AD12" i="13" s="1"/>
  <c r="AO10" i="13"/>
  <c r="AP10" i="13" s="1"/>
  <c r="AF12" i="13"/>
  <c r="AG12" i="13" s="1"/>
  <c r="AE12" i="13"/>
  <c r="U11" i="13"/>
  <c r="V11" i="13"/>
  <c r="W11" i="13" s="1"/>
  <c r="Y11" i="13" s="1"/>
  <c r="Z11" i="13" s="1"/>
  <c r="X11" i="13"/>
  <c r="V18" i="13"/>
  <c r="W18" i="13" s="1"/>
  <c r="Y18" i="13" s="1"/>
  <c r="Z18" i="13" s="1"/>
  <c r="U18" i="13"/>
  <c r="U13" i="13"/>
  <c r="V13" i="13"/>
  <c r="W13" i="13" s="1"/>
  <c r="Y13" i="13" s="1"/>
  <c r="Z13" i="13" s="1"/>
  <c r="V15" i="13"/>
  <c r="W15" i="13" s="1"/>
  <c r="Y15" i="13" s="1"/>
  <c r="U15" i="13"/>
  <c r="V16" i="13"/>
  <c r="W16" i="13" s="1"/>
  <c r="Y16" i="13" s="1"/>
  <c r="Z16" i="13" s="1"/>
  <c r="U16" i="13"/>
  <c r="X16" i="13"/>
  <c r="AE17" i="13"/>
  <c r="AH17" i="13" s="1"/>
  <c r="S19" i="13"/>
  <c r="AQ10" i="13"/>
  <c r="AR10" i="13" s="1"/>
  <c r="AT10" i="13" s="1"/>
  <c r="AU10" i="13" s="1"/>
  <c r="T19" i="13"/>
  <c r="T23" i="13" s="1"/>
  <c r="T25" i="13" s="1"/>
  <c r="U8" i="13"/>
  <c r="V8" i="13"/>
  <c r="AJ9" i="13"/>
  <c r="AK9" i="13" s="1"/>
  <c r="AM9" i="13" s="1"/>
  <c r="AN9" i="13" s="1"/>
  <c r="AI9" i="13"/>
  <c r="AP14" i="13"/>
  <c r="AQ14" i="13"/>
  <c r="AR14" i="13" s="1"/>
  <c r="AT14" i="13" s="1"/>
  <c r="AU14" i="13" s="1"/>
  <c r="AS10" i="13"/>
  <c r="AV10" i="13" s="1"/>
  <c r="B22" i="26"/>
  <c r="J26" i="26" s="1"/>
  <c r="J27" i="26" s="1"/>
  <c r="J7" i="26" s="1"/>
  <c r="J17" i="26" s="1"/>
  <c r="K17" i="26" s="1"/>
  <c r="U18" i="1" s="1"/>
  <c r="AH12" i="13" l="1"/>
  <c r="AI12" i="13" s="1"/>
  <c r="AJ17" i="13"/>
  <c r="AK17" i="13" s="1"/>
  <c r="AM17" i="13" s="1"/>
  <c r="AN17" i="13" s="1"/>
  <c r="AI17" i="13"/>
  <c r="AL17" i="13"/>
  <c r="AA16" i="13"/>
  <c r="U19" i="13"/>
  <c r="X15" i="13"/>
  <c r="X18" i="13"/>
  <c r="AA18" i="13" s="1"/>
  <c r="AA11" i="13"/>
  <c r="X13" i="13"/>
  <c r="AA13" i="13" s="1"/>
  <c r="V19" i="13"/>
  <c r="W8" i="13"/>
  <c r="AS14" i="13"/>
  <c r="AV14" i="13" s="1"/>
  <c r="AW10" i="13"/>
  <c r="AX10" i="13"/>
  <c r="AL9" i="13"/>
  <c r="AO9" i="13" s="1"/>
  <c r="J11" i="26"/>
  <c r="K11" i="26" s="1"/>
  <c r="J12" i="26"/>
  <c r="K12" i="26" s="1"/>
  <c r="U13" i="1" s="1"/>
  <c r="H13" i="27" s="1"/>
  <c r="J18" i="26"/>
  <c r="K18" i="26" s="1"/>
  <c r="J20" i="26"/>
  <c r="K20" i="26" s="1"/>
  <c r="U21" i="1" s="1"/>
  <c r="H21" i="27" s="1"/>
  <c r="J21" i="26"/>
  <c r="K21" i="26" s="1"/>
  <c r="U22" i="1" s="1"/>
  <c r="J19" i="26"/>
  <c r="K19" i="26" s="1"/>
  <c r="J13" i="26"/>
  <c r="K13" i="26" s="1"/>
  <c r="J16" i="26"/>
  <c r="K16" i="26" s="1"/>
  <c r="J15" i="26"/>
  <c r="K15" i="26" s="1"/>
  <c r="J14" i="26"/>
  <c r="K14" i="26" s="1"/>
  <c r="U15" i="1" s="1"/>
  <c r="H15" i="27" s="1"/>
  <c r="H18" i="27"/>
  <c r="AJ12" i="13" l="1"/>
  <c r="AK12" i="13" s="1"/>
  <c r="U12" i="1"/>
  <c r="H12" i="27" s="1"/>
  <c r="U14" i="1"/>
  <c r="H14" i="27" s="1"/>
  <c r="U20" i="1"/>
  <c r="H20" i="27" s="1"/>
  <c r="U19" i="1"/>
  <c r="H19" i="27" s="1"/>
  <c r="U16" i="1"/>
  <c r="H16" i="27" s="1"/>
  <c r="H22" i="27"/>
  <c r="U17" i="1"/>
  <c r="H17" i="27" s="1"/>
  <c r="AO17" i="13"/>
  <c r="AQ17" i="13" s="1"/>
  <c r="AR17" i="13" s="1"/>
  <c r="AT17" i="13" s="1"/>
  <c r="AU17" i="13" s="1"/>
  <c r="AM12" i="13"/>
  <c r="AN12" i="13" s="1"/>
  <c r="AL12" i="13"/>
  <c r="AC11" i="13"/>
  <c r="AD11" i="13" s="1"/>
  <c r="AF11" i="13" s="1"/>
  <c r="AG11" i="13" s="1"/>
  <c r="AB11" i="13"/>
  <c r="AE11" i="13"/>
  <c r="AB16" i="13"/>
  <c r="AC16" i="13"/>
  <c r="AD16" i="13" s="1"/>
  <c r="AF16" i="13" s="1"/>
  <c r="AG16" i="13" s="1"/>
  <c r="AB18" i="13"/>
  <c r="AC18" i="13"/>
  <c r="AD18" i="13" s="1"/>
  <c r="AF18" i="13" s="1"/>
  <c r="AG18" i="13" s="1"/>
  <c r="AB13" i="13"/>
  <c r="AC13" i="13"/>
  <c r="AD13" i="13" s="1"/>
  <c r="AF13" i="13" s="1"/>
  <c r="AG13" i="13" s="1"/>
  <c r="Y8" i="13"/>
  <c r="X8" i="13"/>
  <c r="AX14" i="13"/>
  <c r="AW14" i="13"/>
  <c r="AP9" i="13"/>
  <c r="AQ9" i="13"/>
  <c r="AR9" i="13" s="1"/>
  <c r="AT9" i="13" s="1"/>
  <c r="AU9" i="13" s="1"/>
  <c r="J22" i="26"/>
  <c r="K22" i="26"/>
  <c r="L11" i="26" l="1"/>
  <c r="V12" i="1" s="1"/>
  <c r="I12" i="27" s="1"/>
  <c r="AP17" i="13"/>
  <c r="AH11" i="13"/>
  <c r="AO12" i="13"/>
  <c r="AE18" i="13"/>
  <c r="AH18" i="13" s="1"/>
  <c r="AI11" i="13"/>
  <c r="AJ11" i="13"/>
  <c r="AK11" i="13" s="1"/>
  <c r="AM11" i="13" s="1"/>
  <c r="AN11" i="13" s="1"/>
  <c r="AE13" i="13"/>
  <c r="AH13" i="13" s="1"/>
  <c r="AE16" i="13"/>
  <c r="AH16" i="13" s="1"/>
  <c r="AS17" i="13"/>
  <c r="AV17" i="13" s="1"/>
  <c r="X19" i="13"/>
  <c r="AS9" i="13"/>
  <c r="AV9" i="13" s="1"/>
  <c r="Y19" i="13"/>
  <c r="Z8" i="13"/>
  <c r="H23" i="27"/>
  <c r="U23" i="1"/>
  <c r="K26" i="26"/>
  <c r="K27" i="26" s="1"/>
  <c r="L12" i="26"/>
  <c r="V13" i="1" s="1"/>
  <c r="L21" i="26"/>
  <c r="V22" i="1" s="1"/>
  <c r="L14" i="26"/>
  <c r="V15" i="1" s="1"/>
  <c r="L13" i="26"/>
  <c r="V14" i="1" s="1"/>
  <c r="L15" i="26"/>
  <c r="V16" i="1" s="1"/>
  <c r="L19" i="26"/>
  <c r="V20" i="1" s="1"/>
  <c r="L20" i="26"/>
  <c r="V21" i="1" s="1"/>
  <c r="L18" i="26"/>
  <c r="V19" i="1" s="1"/>
  <c r="L16" i="26"/>
  <c r="V17" i="1" s="1"/>
  <c r="L17" i="26"/>
  <c r="V18" i="1" s="1"/>
  <c r="M11" i="26" l="1"/>
  <c r="AP12" i="13"/>
  <c r="AQ12" i="13"/>
  <c r="AR12" i="13" s="1"/>
  <c r="AT12" i="13" s="1"/>
  <c r="AU12" i="13" s="1"/>
  <c r="Z15" i="13"/>
  <c r="AA15" i="13" s="1"/>
  <c r="AC15" i="13" s="1"/>
  <c r="AD15" i="13" s="1"/>
  <c r="AF15" i="13" s="1"/>
  <c r="AW17" i="13"/>
  <c r="AX17" i="13"/>
  <c r="AL11" i="13"/>
  <c r="AO11" i="13" s="1"/>
  <c r="AI13" i="13"/>
  <c r="AJ13" i="13"/>
  <c r="AK13" i="13" s="1"/>
  <c r="AM13" i="13" s="1"/>
  <c r="AN13" i="13" s="1"/>
  <c r="AJ16" i="13"/>
  <c r="AK16" i="13" s="1"/>
  <c r="AM16" i="13" s="1"/>
  <c r="AN16" i="13" s="1"/>
  <c r="AI16" i="13"/>
  <c r="AJ18" i="13"/>
  <c r="AK18" i="13" s="1"/>
  <c r="AM18" i="13" s="1"/>
  <c r="AN18" i="13" s="1"/>
  <c r="AI18" i="13"/>
  <c r="AW9" i="13"/>
  <c r="AX9" i="13"/>
  <c r="AA8" i="13"/>
  <c r="K12" i="27"/>
  <c r="M20" i="26"/>
  <c r="I21" i="27"/>
  <c r="K21" i="27" s="1"/>
  <c r="M14" i="26"/>
  <c r="I15" i="27"/>
  <c r="K15" i="27" s="1"/>
  <c r="M15" i="26"/>
  <c r="I16" i="27"/>
  <c r="K16" i="27" s="1"/>
  <c r="M13" i="26"/>
  <c r="I14" i="27"/>
  <c r="K14" i="27" s="1"/>
  <c r="M19" i="26"/>
  <c r="I20" i="27"/>
  <c r="K20" i="27" s="1"/>
  <c r="M18" i="26"/>
  <c r="I19" i="27"/>
  <c r="K19" i="27" s="1"/>
  <c r="M16" i="26"/>
  <c r="I17" i="27"/>
  <c r="K17" i="27" s="1"/>
  <c r="M12" i="26"/>
  <c r="I13" i="27"/>
  <c r="K13" i="27" s="1"/>
  <c r="M17" i="26"/>
  <c r="I18" i="27"/>
  <c r="K18" i="27" s="1"/>
  <c r="M21" i="26"/>
  <c r="I22" i="27"/>
  <c r="K22" i="27" s="1"/>
  <c r="L22" i="26"/>
  <c r="L26" i="26" s="1"/>
  <c r="L27" i="26" s="1"/>
  <c r="W12" i="1"/>
  <c r="AL18" i="13" l="1"/>
  <c r="AO18" i="13" s="1"/>
  <c r="Z19" i="13"/>
  <c r="AB15" i="13"/>
  <c r="AL13" i="13"/>
  <c r="AO13" i="13" s="1"/>
  <c r="AP13" i="13" s="1"/>
  <c r="AS12" i="13"/>
  <c r="AV12" i="13" s="1"/>
  <c r="AQ11" i="13"/>
  <c r="AR11" i="13" s="1"/>
  <c r="AT11" i="13" s="1"/>
  <c r="AU11" i="13" s="1"/>
  <c r="AP11" i="13"/>
  <c r="AE15" i="13"/>
  <c r="AL16" i="13"/>
  <c r="AO16" i="13" s="1"/>
  <c r="AC8" i="13"/>
  <c r="AB8" i="13"/>
  <c r="AA19" i="13"/>
  <c r="AA23" i="13" s="1"/>
  <c r="AA25" i="13" s="1"/>
  <c r="K23" i="27"/>
  <c r="I23" i="27"/>
  <c r="W14" i="1"/>
  <c r="W15" i="1"/>
  <c r="W18" i="1"/>
  <c r="W21" i="1"/>
  <c r="W13" i="1"/>
  <c r="W20" i="1"/>
  <c r="W17" i="1"/>
  <c r="W19" i="1"/>
  <c r="W16" i="1"/>
  <c r="W22" i="1"/>
  <c r="M22" i="26"/>
  <c r="M26" i="26" s="1"/>
  <c r="M27" i="26" s="1"/>
  <c r="V23" i="1"/>
  <c r="AP18" i="13" l="1"/>
  <c r="AQ18" i="13"/>
  <c r="AR18" i="13" s="1"/>
  <c r="AT18" i="13" s="1"/>
  <c r="AU18" i="13" s="1"/>
  <c r="AB19" i="13"/>
  <c r="AQ13" i="13"/>
  <c r="AR13" i="13" s="1"/>
  <c r="AT13" i="13" s="1"/>
  <c r="AU13" i="13" s="1"/>
  <c r="AS11" i="13"/>
  <c r="AV11" i="13" s="1"/>
  <c r="AX11" i="13" s="1"/>
  <c r="AX12" i="13"/>
  <c r="AW12" i="13"/>
  <c r="AP16" i="13"/>
  <c r="AQ16" i="13"/>
  <c r="AR16" i="13" s="1"/>
  <c r="AT16" i="13" s="1"/>
  <c r="AU16" i="13" s="1"/>
  <c r="AS18" i="13"/>
  <c r="AV18" i="13" s="1"/>
  <c r="AC19" i="13"/>
  <c r="AD8" i="13"/>
  <c r="W23" i="1"/>
  <c r="AS13" i="13" l="1"/>
  <c r="AV13" i="13" s="1"/>
  <c r="AW11" i="13"/>
  <c r="AS16" i="13"/>
  <c r="AV16" i="13"/>
  <c r="AX18" i="13"/>
  <c r="AW18" i="13"/>
  <c r="AW13" i="13"/>
  <c r="AX13" i="13"/>
  <c r="AF8" i="13"/>
  <c r="AE8" i="13"/>
  <c r="AE19" i="13" s="1"/>
  <c r="AW16" i="13" l="1"/>
  <c r="AX16" i="13"/>
  <c r="AF19" i="13"/>
  <c r="AG15" i="13" s="1"/>
  <c r="AH15" i="13" s="1"/>
  <c r="AG8" i="13"/>
  <c r="AI15" i="13" l="1"/>
  <c r="AJ15" i="13"/>
  <c r="AK15" i="13" s="1"/>
  <c r="AM15" i="13" s="1"/>
  <c r="AH8" i="13"/>
  <c r="AG19" i="13"/>
  <c r="AL15" i="13" l="1"/>
  <c r="AI8" i="13"/>
  <c r="AI19" i="13" s="1"/>
  <c r="AJ8" i="13"/>
  <c r="AH19" i="13"/>
  <c r="AH23" i="13" s="1"/>
  <c r="AH25" i="13" s="1"/>
  <c r="AK8" i="13" l="1"/>
  <c r="AJ19" i="13"/>
  <c r="AM8" i="13" l="1"/>
  <c r="AL8" i="13"/>
  <c r="AL19" i="13" l="1"/>
  <c r="AN8" i="13"/>
  <c r="AM19" i="13"/>
  <c r="AN15" i="13" l="1"/>
  <c r="AO15" i="13" s="1"/>
  <c r="AO8" i="13"/>
  <c r="AP15" i="13" l="1"/>
  <c r="AQ15" i="13"/>
  <c r="AR15" i="13" s="1"/>
  <c r="AT15" i="13" s="1"/>
  <c r="AN19" i="13"/>
  <c r="AQ8" i="13"/>
  <c r="AP8" i="13"/>
  <c r="AO19" i="13"/>
  <c r="AO23" i="13" s="1"/>
  <c r="AO25" i="13" s="1"/>
  <c r="AP19" i="13" l="1"/>
  <c r="AS15" i="13"/>
  <c r="AQ19" i="13"/>
  <c r="AR8" i="13"/>
  <c r="AT8" i="13" l="1"/>
  <c r="AS8" i="13"/>
  <c r="AS19" i="13" l="1"/>
  <c r="AU8" i="13"/>
  <c r="AT19" i="13"/>
  <c r="AU15" i="13" l="1"/>
  <c r="AV15" i="13" s="1"/>
  <c r="AV8" i="13"/>
  <c r="AX15" i="13" l="1"/>
  <c r="AW15" i="13"/>
  <c r="AU19" i="13"/>
  <c r="AV19" i="13"/>
  <c r="AW8" i="13"/>
  <c r="AW19" i="13" s="1"/>
  <c r="AX8" i="13"/>
  <c r="AX19" i="13" l="1"/>
  <c r="AY8" i="13"/>
  <c r="AV23" i="13"/>
  <c r="AV25" i="13" s="1"/>
  <c r="AY18" i="13"/>
  <c r="AZ18" i="13" s="1"/>
  <c r="BA18" i="13" s="1"/>
  <c r="AY16" i="13"/>
  <c r="AZ16" i="13" s="1"/>
  <c r="BA16" i="13" s="1"/>
  <c r="AY17" i="13"/>
  <c r="AZ17" i="13" s="1"/>
  <c r="BA17" i="13" s="1"/>
  <c r="AY11" i="13"/>
  <c r="AZ11" i="13" s="1"/>
  <c r="BA11" i="13" s="1"/>
  <c r="AY13" i="13"/>
  <c r="AZ13" i="13" s="1"/>
  <c r="BA13" i="13" s="1"/>
  <c r="AY10" i="13"/>
  <c r="AZ10" i="13" s="1"/>
  <c r="BA10" i="13" s="1"/>
  <c r="AY14" i="13"/>
  <c r="AZ14" i="13" s="1"/>
  <c r="BA14" i="13" s="1"/>
  <c r="AY12" i="13"/>
  <c r="AZ12" i="13" s="1"/>
  <c r="BA12" i="13" s="1"/>
  <c r="AY9" i="13"/>
  <c r="AZ9" i="13" s="1"/>
  <c r="BA9" i="13" s="1"/>
  <c r="AY15" i="13"/>
  <c r="AZ15" i="13" s="1"/>
  <c r="BA15" i="13" s="1"/>
  <c r="AY19" i="13" l="1"/>
  <c r="AY23" i="13" s="1"/>
  <c r="AY25" i="13" s="1"/>
  <c r="AZ8" i="13"/>
  <c r="AZ19" i="13" l="1"/>
  <c r="BA8" i="13"/>
  <c r="BA19" i="13" s="1"/>
</calcChain>
</file>

<file path=xl/comments1.xml><?xml version="1.0" encoding="utf-8"?>
<comments xmlns="http://schemas.openxmlformats.org/spreadsheetml/2006/main">
  <authors>
    <author>user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from 2003 Base Factors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from Pivot - P&amp; E.  These are factors from the Planning &amp; Evaluation area that's based on the census data from each county.</t>
        </r>
      </text>
    </comment>
    <comment ref="U7" authorId="0" shapeId="0">
      <text>
        <r>
          <rPr>
            <b/>
            <sz val="8"/>
            <color indexed="81"/>
            <rFont val="Tahoma"/>
            <family val="2"/>
          </rPr>
          <t>does not change from last award. Admin stays the same; tho the services increased.</t>
        </r>
      </text>
    </comment>
    <comment ref="V7" authorId="0" shapeId="0">
      <text>
        <r>
          <rPr>
            <b/>
            <sz val="8"/>
            <color indexed="81"/>
            <rFont val="Tahoma"/>
            <family val="2"/>
          </rPr>
          <t>does not change from last award. Admin stays the same; tho the services increased.</t>
        </r>
      </text>
    </comment>
  </commentList>
</comments>
</file>

<file path=xl/comments2.xml><?xml version="1.0" encoding="utf-8"?>
<comments xmlns="http://schemas.openxmlformats.org/spreadsheetml/2006/main">
  <authors>
    <author>JM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from Pivot - P&amp;E.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</rPr>
          <t>from CCE Allocation - no admin</t>
        </r>
      </text>
    </comment>
  </commentList>
</comments>
</file>

<file path=xl/comments3.xml><?xml version="1.0" encoding="utf-8"?>
<comments xmlns="http://schemas.openxmlformats.org/spreadsheetml/2006/main">
  <authors>
    <author>JM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 xml:space="preserve">includes self-care disability
</t>
        </r>
      </text>
    </comment>
  </commentList>
</comments>
</file>

<file path=xl/sharedStrings.xml><?xml version="1.0" encoding="utf-8"?>
<sst xmlns="http://schemas.openxmlformats.org/spreadsheetml/2006/main" count="521" uniqueCount="286">
  <si>
    <t xml:space="preserve"> </t>
  </si>
  <si>
    <t>Total</t>
  </si>
  <si>
    <t>Factors</t>
  </si>
  <si>
    <t>OAA</t>
  </si>
  <si>
    <t>GR</t>
  </si>
  <si>
    <t>PSA</t>
  </si>
  <si>
    <t>Supportive</t>
  </si>
  <si>
    <t>Increase</t>
  </si>
  <si>
    <t>Congregate</t>
  </si>
  <si>
    <t>Home Del</t>
  </si>
  <si>
    <t>Admin</t>
  </si>
  <si>
    <t>Contract</t>
  </si>
  <si>
    <t>Services</t>
  </si>
  <si>
    <t>Meals</t>
  </si>
  <si>
    <t>Caregiver</t>
  </si>
  <si>
    <t>Family</t>
  </si>
  <si>
    <t>Alloca</t>
  </si>
  <si>
    <t>Amt (incl GR)</t>
  </si>
  <si>
    <t>Amount</t>
  </si>
  <si>
    <t>10</t>
  </si>
  <si>
    <t>11</t>
  </si>
  <si>
    <t>PREVENTIVE</t>
  </si>
  <si>
    <t>HEALTH</t>
  </si>
  <si>
    <t>Total Elder Abuse Prevention</t>
  </si>
  <si>
    <t xml:space="preserve">Other Costs </t>
  </si>
  <si>
    <t>Total PSA Contracts</t>
  </si>
  <si>
    <t>Assumptions for Above Allocation:</t>
  </si>
  <si>
    <t>Contract Amount</t>
  </si>
  <si>
    <t>Contract Number</t>
  </si>
  <si>
    <t>Elder Abuse Prevention</t>
  </si>
  <si>
    <t>Difference</t>
  </si>
  <si>
    <t>PREVENTION</t>
  </si>
  <si>
    <t>ACTIVITY</t>
  </si>
  <si>
    <t>CAREGIVER</t>
  </si>
  <si>
    <t>MEALS</t>
  </si>
  <si>
    <t>SERVICES</t>
  </si>
  <si>
    <t>III/VII</t>
  </si>
  <si>
    <t>ELDER ABUSE</t>
  </si>
  <si>
    <t xml:space="preserve">OMBUDSMAN </t>
  </si>
  <si>
    <t>CONGREGATE</t>
  </si>
  <si>
    <t xml:space="preserve">SUPPORTIVE </t>
  </si>
  <si>
    <t>AMOUNT</t>
  </si>
  <si>
    <t>VII</t>
  </si>
  <si>
    <t>III-E</t>
  </si>
  <si>
    <t>III-B</t>
  </si>
  <si>
    <t>TOTAL</t>
  </si>
  <si>
    <t>County</t>
  </si>
  <si>
    <t>60+</t>
  </si>
  <si>
    <t>Escambia</t>
  </si>
  <si>
    <t>Okaloosa</t>
  </si>
  <si>
    <t>Santa Rosa</t>
  </si>
  <si>
    <t>Walton</t>
  </si>
  <si>
    <t>Bay</t>
  </si>
  <si>
    <t>Calhoun</t>
  </si>
  <si>
    <t>Franklin</t>
  </si>
  <si>
    <t>Gadsden</t>
  </si>
  <si>
    <t>Gulf</t>
  </si>
  <si>
    <t>Holmes</t>
  </si>
  <si>
    <t>Jackson</t>
  </si>
  <si>
    <t>Jefferson</t>
  </si>
  <si>
    <t>Leon</t>
  </si>
  <si>
    <t>Liberty</t>
  </si>
  <si>
    <t>Madison</t>
  </si>
  <si>
    <t>Taylor</t>
  </si>
  <si>
    <t>Wakulla</t>
  </si>
  <si>
    <t>Washington</t>
  </si>
  <si>
    <t>Alachua</t>
  </si>
  <si>
    <t>Bradford</t>
  </si>
  <si>
    <t>Citrus</t>
  </si>
  <si>
    <t>Columbia</t>
  </si>
  <si>
    <t>Dixie</t>
  </si>
  <si>
    <t>Gilchrist</t>
  </si>
  <si>
    <t>Hamilton</t>
  </si>
  <si>
    <t>Hernando</t>
  </si>
  <si>
    <t>Lafayette</t>
  </si>
  <si>
    <t>Lake</t>
  </si>
  <si>
    <t>Levy</t>
  </si>
  <si>
    <t>Marion</t>
  </si>
  <si>
    <t>Putnam</t>
  </si>
  <si>
    <t>Sumter</t>
  </si>
  <si>
    <t>Suwannee</t>
  </si>
  <si>
    <t>Union</t>
  </si>
  <si>
    <t>Baker</t>
  </si>
  <si>
    <t>Clay</t>
  </si>
  <si>
    <t>Duval</t>
  </si>
  <si>
    <t>Flagler</t>
  </si>
  <si>
    <t>Nassau</t>
  </si>
  <si>
    <t>St. Johns</t>
  </si>
  <si>
    <t>Volusia</t>
  </si>
  <si>
    <t>Pasco</t>
  </si>
  <si>
    <t>Pinellas</t>
  </si>
  <si>
    <t>Hardee</t>
  </si>
  <si>
    <t>Highlands</t>
  </si>
  <si>
    <t>Hillsborough</t>
  </si>
  <si>
    <t>Manatee</t>
  </si>
  <si>
    <t>Polk</t>
  </si>
  <si>
    <t>Brevard</t>
  </si>
  <si>
    <t>Orange</t>
  </si>
  <si>
    <t>Osceola</t>
  </si>
  <si>
    <t>Seminole</t>
  </si>
  <si>
    <t>Charlotte</t>
  </si>
  <si>
    <t>Collier</t>
  </si>
  <si>
    <t>Glades</t>
  </si>
  <si>
    <t>Hendry</t>
  </si>
  <si>
    <t>Lee</t>
  </si>
  <si>
    <t>Sarasota</t>
  </si>
  <si>
    <t>Indian River</t>
  </si>
  <si>
    <t>Martin</t>
  </si>
  <si>
    <t>Okeechobee</t>
  </si>
  <si>
    <t>Palm Beach</t>
  </si>
  <si>
    <t>St. Lucie</t>
  </si>
  <si>
    <t>Broward</t>
  </si>
  <si>
    <t>Miami-Dade</t>
  </si>
  <si>
    <t>Monroe</t>
  </si>
  <si>
    <t>Values</t>
  </si>
  <si>
    <t>Grand Total</t>
  </si>
  <si>
    <t>PSA  Formula Share</t>
  </si>
  <si>
    <t>ALLOTMENT/MODIFICATION</t>
  </si>
  <si>
    <t>Base**</t>
  </si>
  <si>
    <t>No. of</t>
  </si>
  <si>
    <t>Allocation</t>
  </si>
  <si>
    <t>50% Weight</t>
  </si>
  <si>
    <t>Counties</t>
  </si>
  <si>
    <t>25% Weight</t>
  </si>
  <si>
    <t>Allocated</t>
  </si>
  <si>
    <t>Per AAA</t>
  </si>
  <si>
    <t>Number</t>
  </si>
  <si>
    <t>Factor</t>
  </si>
  <si>
    <t>In PSA</t>
  </si>
  <si>
    <t>Amount*</t>
  </si>
  <si>
    <t>All Factors</t>
  </si>
  <si>
    <t>Over Base</t>
  </si>
  <si>
    <t>*</t>
  </si>
  <si>
    <t>**</t>
  </si>
  <si>
    <t>Base equals 7% of OAA services with a minimum of $230,000 per PSA.</t>
  </si>
  <si>
    <t>2003 Award</t>
  </si>
  <si>
    <t>Notes:</t>
  </si>
  <si>
    <t>Calculated</t>
  </si>
  <si>
    <t>HOME DELIVERED</t>
  </si>
  <si>
    <t>NATL FAMILY</t>
  </si>
  <si>
    <t>Services Allocated on Based Service Level of Funding from the 2003 Grant</t>
  </si>
  <si>
    <t>Population 60+</t>
  </si>
  <si>
    <t>Population 60+ Below Federal Poverty Level (FPL)</t>
  </si>
  <si>
    <t>Minority Population 60+ Below 125% FPL</t>
  </si>
  <si>
    <t>Sum of Population 60+</t>
  </si>
  <si>
    <t>Sum of Population 60+ Below Federal Poverty Level (FPL)</t>
  </si>
  <si>
    <t>Sum of Minority Population 60+ Below 125% FPL</t>
  </si>
  <si>
    <t>Funding</t>
  </si>
  <si>
    <t>over Base</t>
  </si>
  <si>
    <t>under Base</t>
  </si>
  <si>
    <t>Funding allocation is based on the approved Intrastate Funding Formula under the provisions of the Older Americans Act.  Allocation was approved by Department of Health &amp; Human Services on December 31, 2003.</t>
  </si>
  <si>
    <t>Preventive Health Funding Allocation</t>
  </si>
  <si>
    <t>Reallocation Based on New Method</t>
  </si>
  <si>
    <t>Round 1 Hold Harmless - Reallocate When Award &lt;&gt; Base</t>
  </si>
  <si>
    <t>Round 2 Hold Harmless - Reallocate When Award &lt;&gt; Base</t>
  </si>
  <si>
    <t>Round 3 Hold Harmless - Reallocate When Award &lt;&gt; Base</t>
  </si>
  <si>
    <t>Round 4 Hold Harmless - Reallocate When Award &lt;&gt; Base</t>
  </si>
  <si>
    <t>Round 5 Hold Harmless - Reallocate When Award &lt;&gt; Base</t>
  </si>
  <si>
    <t>Round 6 Hold Harmless - To Determine Change from Previous Round</t>
  </si>
  <si>
    <t>Re-Allocation Based on Old Method</t>
  </si>
  <si>
    <t>Base Allocation</t>
  </si>
  <si>
    <t>60 And Over Below Poverty</t>
  </si>
  <si>
    <t>Formula Allocation</t>
  </si>
  <si>
    <t>Base or Formula Allocation</t>
  </si>
  <si>
    <t>Re-Allocation</t>
  </si>
  <si>
    <t>Increase (Decrease)</t>
  </si>
  <si>
    <t>Hold Harmless? 1=yes</t>
  </si>
  <si>
    <t>Allocation to non H.H.</t>
  </si>
  <si>
    <t>Allocation to H.H.</t>
  </si>
  <si>
    <t>Amount Reduced to hold harmless</t>
  </si>
  <si>
    <t>Award Amount</t>
  </si>
  <si>
    <t>Award less Base</t>
  </si>
  <si>
    <t>H.H. Check</t>
  </si>
  <si>
    <t xml:space="preserve">Award Changed from Previous Round? </t>
  </si>
  <si>
    <t>Difference from Both Methods</t>
  </si>
  <si>
    <t>Award</t>
  </si>
  <si>
    <t>Percentage of Program Admin to Total Admin</t>
  </si>
  <si>
    <t>Program Admin</t>
  </si>
  <si>
    <r>
      <t>AAA Administration</t>
    </r>
    <r>
      <rPr>
        <vertAlign val="superscript"/>
        <sz val="11"/>
        <rFont val="Calibri"/>
        <family val="2"/>
        <scheme val="minor"/>
      </rPr>
      <t>3</t>
    </r>
  </si>
  <si>
    <r>
      <t>AAA's - Balance of Grant Award</t>
    </r>
    <r>
      <rPr>
        <vertAlign val="superscript"/>
        <sz val="11"/>
        <rFont val="Calibri"/>
        <family val="2"/>
        <scheme val="minor"/>
      </rPr>
      <t>5</t>
    </r>
  </si>
  <si>
    <t>Test of Rounding</t>
  </si>
  <si>
    <t xml:space="preserve">  3.  Area Agency Administration computed using 10% of the original grant award balance for programs III-B, III-C1, III-C2, and III-E (III-D amount</t>
  </si>
  <si>
    <t xml:space="preserve"> is included for calculation purposes only).</t>
  </si>
  <si>
    <t xml:space="preserve">  2.  Ombudsman Allocation from IIIB must be same as 2000 ($404,660).</t>
  </si>
  <si>
    <r>
      <t>Long Term Care Ombudsman Program</t>
    </r>
    <r>
      <rPr>
        <vertAlign val="superscript"/>
        <sz val="11"/>
        <rFont val="Calibri"/>
        <family val="2"/>
        <scheme val="minor"/>
      </rPr>
      <t>2</t>
    </r>
  </si>
  <si>
    <t>III-C1</t>
  </si>
  <si>
    <t>III-C2</t>
  </si>
  <si>
    <r>
      <t>III-D</t>
    </r>
    <r>
      <rPr>
        <b/>
        <vertAlign val="superscript"/>
        <sz val="11"/>
        <rFont val="Calibri"/>
        <family val="2"/>
        <scheme val="minor"/>
      </rPr>
      <t>4</t>
    </r>
  </si>
  <si>
    <t>Title III-B</t>
  </si>
  <si>
    <t>Title III-C1</t>
  </si>
  <si>
    <t>Title III-C2</t>
  </si>
  <si>
    <t>Title III-E</t>
  </si>
  <si>
    <t xml:space="preserve">Florida's Allotments Under The Older Americans Act </t>
  </si>
  <si>
    <t>65 and Over Medically Underserved</t>
  </si>
  <si>
    <t>Low Income 60+</t>
  </si>
  <si>
    <t>Minority 60+ 125% PL</t>
  </si>
  <si>
    <t>Mobility &amp; Self Care Limitations 60+</t>
  </si>
  <si>
    <t>DeSoto</t>
  </si>
  <si>
    <t>Sum of 60+</t>
  </si>
  <si>
    <t>Sum of Low Income 60+</t>
  </si>
  <si>
    <t>Sum of Minority 60+ 125% PL</t>
  </si>
  <si>
    <t>Sum of Mobility &amp; Self Care Limitations 60+</t>
  </si>
  <si>
    <t>AREA AGENCY ADMINISTRATION ALLOCATION</t>
  </si>
  <si>
    <t>PSA 03 Pop</t>
  </si>
  <si>
    <t>CCE Svcs.</t>
  </si>
  <si>
    <t>GR Alloca Based</t>
  </si>
  <si>
    <t>Total 2003</t>
  </si>
  <si>
    <t>FY 02/03</t>
  </si>
  <si>
    <t>2003 Fed</t>
  </si>
  <si>
    <t>Based on Admin</t>
  </si>
  <si>
    <t>OAA--Adm</t>
  </si>
  <si>
    <t>Fed Amt. 2003</t>
  </si>
  <si>
    <t>Fed + GR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</si>
  <si>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</si>
  <si>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</si>
  <si>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</si>
  <si>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</si>
  <si>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</si>
  <si>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</si>
  <si>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</si>
  <si>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</si>
  <si>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</si>
  <si>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Amount over base=</t>
  </si>
  <si>
    <t>Allocation for CCE for 2002/2003.</t>
  </si>
  <si>
    <t>Using 2003 Population Data (1990 Census)</t>
  </si>
  <si>
    <t>2003 OLDER AMERICANS ACT ALLOCATION</t>
  </si>
  <si>
    <t xml:space="preserve">  1.  State Administration computed using the original grant award balance for programs III-B, III-C1, III-C2, III-D, and III-E.</t>
  </si>
  <si>
    <t>Administrative Funding Allocation</t>
  </si>
  <si>
    <t>PSA  Pop</t>
  </si>
  <si>
    <t>CCE Services</t>
  </si>
  <si>
    <t>Federal</t>
  </si>
  <si>
    <t>Gen Rev</t>
  </si>
  <si>
    <t>OAA Admin</t>
  </si>
  <si>
    <t>(Fed + GR)</t>
  </si>
  <si>
    <t>Base</t>
  </si>
  <si>
    <t>Supplemental</t>
  </si>
  <si>
    <t>Original</t>
  </si>
  <si>
    <t>A7014</t>
  </si>
  <si>
    <t>B7014</t>
  </si>
  <si>
    <t>C7014</t>
  </si>
  <si>
    <t>D7014</t>
  </si>
  <si>
    <t>E7014</t>
  </si>
  <si>
    <t>F7014</t>
  </si>
  <si>
    <t>G7014</t>
  </si>
  <si>
    <t>H7014</t>
  </si>
  <si>
    <t>I7014</t>
  </si>
  <si>
    <t>J7014</t>
  </si>
  <si>
    <t>K7014</t>
  </si>
  <si>
    <t>Grant GEA14</t>
  </si>
  <si>
    <t xml:space="preserve">  4.  For III-D, award must be evidence based according to AOA Award.</t>
  </si>
  <si>
    <t>2014 Award</t>
  </si>
  <si>
    <t>FY 2013-14</t>
  </si>
  <si>
    <t>Balance Allocated Using 2014 Population Projections (2000 Census)</t>
  </si>
  <si>
    <t xml:space="preserve"> from Planning and Evaluation Jan 2014</t>
  </si>
  <si>
    <t>Population 60+ With 2 or More Disabilities</t>
  </si>
  <si>
    <t>Increase or (Reduction)</t>
  </si>
  <si>
    <t>Increase or (Reduction) %</t>
  </si>
  <si>
    <t>Title III</t>
  </si>
  <si>
    <t>Title VII</t>
  </si>
  <si>
    <t>Sum of Population 60+ With 2 or More Disabilities</t>
  </si>
  <si>
    <t>Medication Management (20.8%)</t>
  </si>
  <si>
    <t>Health &amp; Wellness (79.2%)</t>
  </si>
  <si>
    <t>Title III-D</t>
  </si>
  <si>
    <t>Preventive</t>
  </si>
  <si>
    <t>Health</t>
  </si>
  <si>
    <t>Services Only</t>
  </si>
  <si>
    <t>Grant Award: 2015 Older Americans Act Allocation</t>
  </si>
  <si>
    <t>Grant Award 2015 for Title III and 2015 Title VII</t>
  </si>
  <si>
    <t>Florida's 2014 Allotments (Final)</t>
  </si>
  <si>
    <t>AAA Service Allocation - 2015</t>
  </si>
  <si>
    <t>AAA Administration - 2015</t>
  </si>
  <si>
    <t xml:space="preserve">  5.  Contract Period:  January 1, 2015 through December 31, 2015.</t>
  </si>
  <si>
    <t>Title VII, Contract Period 1/1/15 - 12/31/15</t>
  </si>
  <si>
    <t>State Agency Administration 2015</t>
  </si>
  <si>
    <t>2015 Award</t>
  </si>
  <si>
    <t>Balance Allocated Using 2015 Population Projections (2000 Census)</t>
  </si>
  <si>
    <t>FY 2014-15</t>
  </si>
  <si>
    <t>Allocation for CCE in 2014-2015</t>
  </si>
  <si>
    <t>Florida's 2015 Allotments (January)</t>
  </si>
  <si>
    <t>2015 FACTORS FOR OAA INTRASTATE FORMULA</t>
  </si>
  <si>
    <t>Source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</si>
  <si>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60+ : Florida Population by County, Age, Race, Ethnicity and Gender provided by Florida Legislature, Office of Economic and Demographic Research
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</si>
  <si>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Population 60+ Below Federal Poverty Level (FPL):Department of Elder Affairs calculations based on Florida Population data and 2009-2013 American Community Survey data
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</si>
  <si>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Minority Population 60+ with Income Below 125% of the Poverty Level:Department of Elder Affairs calculations based on Florida Population data and 2008-2012 American Community Survey data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</si>
  <si>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Population 60+ With 2 or More Disabilities:Department of Elder Affairs calculations based on Florida Population data and 2008-2012 American Community Survey 3-Year Estimates data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</si>
  <si>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>Medically Underserved:Florida Agency for Health Care Administration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</si>
</sst>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0.0000000%"/>
    <numFmt numFmtId="167" formatCode="#,##0.000000"/>
  </numFmts>
  <fonts count="36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돋움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돋움"/>
      <family val="2"/>
    </font>
    <font>
      <b/>
      <sz val="11"/>
      <name val="돋움"/>
    </font>
    <font>
      <b/>
      <sz val="1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2060"/>
      <name val="Calibri"/>
      <family val="2"/>
    </font>
    <font>
      <sz val="11"/>
      <color rgb="FF00206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0" fontId="5" fillId="0" borderId="0"/>
    <xf numFmtId="0" fontId="29" fillId="0" borderId="0"/>
    <xf numFmtId="43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" fillId="0" borderId="0"/>
    <xf numFmtId="0" fontId="31" fillId="0" borderId="0"/>
    <xf numFmtId="44" fontId="3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400">
    <xf numFmtId="0" fontId="0" fillId="0" borderId="0" xfId="0"/>
    <xf numFmtId="0" fontId="6" fillId="0" borderId="0" xfId="5" applyFill="1"/>
    <xf numFmtId="0" fontId="6" fillId="0" borderId="0" xfId="5"/>
    <xf numFmtId="165" fontId="11" fillId="3" borderId="12" xfId="1" applyNumberFormat="1" applyFont="1" applyFill="1" applyBorder="1" applyAlignment="1">
      <alignment horizontal="center" wrapText="1"/>
    </xf>
    <xf numFmtId="0" fontId="12" fillId="0" borderId="0" xfId="5" applyFont="1" applyFill="1"/>
    <xf numFmtId="0" fontId="12" fillId="0" borderId="0" xfId="5" applyFont="1"/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pivotButton="1" applyFont="1" applyAlignment="1">
      <alignment horizontal="center" wrapText="1"/>
    </xf>
    <xf numFmtId="0" fontId="13" fillId="0" borderId="0" xfId="0" pivotButton="1" applyFont="1" applyAlignment="1">
      <alignment horizontal="center"/>
    </xf>
    <xf numFmtId="41" fontId="13" fillId="0" borderId="0" xfId="0" applyNumberFormat="1" applyFont="1" applyAlignment="1">
      <alignment horizontal="center"/>
    </xf>
    <xf numFmtId="0" fontId="13" fillId="0" borderId="0" xfId="14" applyFont="1"/>
    <xf numFmtId="0" fontId="11" fillId="0" borderId="0" xfId="14" applyFont="1"/>
    <xf numFmtId="5" fontId="13" fillId="0" borderId="0" xfId="14" applyNumberFormat="1" applyFont="1"/>
    <xf numFmtId="166" fontId="13" fillId="0" borderId="0" xfId="14" applyNumberFormat="1" applyFont="1"/>
    <xf numFmtId="0" fontId="11" fillId="0" borderId="0" xfId="14" applyFont="1" applyBorder="1"/>
    <xf numFmtId="0" fontId="13" fillId="0" borderId="1" xfId="14" applyFont="1" applyBorder="1"/>
    <xf numFmtId="0" fontId="13" fillId="0" borderId="7" xfId="14" applyFont="1" applyBorder="1"/>
    <xf numFmtId="0" fontId="13" fillId="0" borderId="0" xfId="14" applyFont="1" applyBorder="1"/>
    <xf numFmtId="0" fontId="11" fillId="0" borderId="7" xfId="14" applyFont="1" applyBorder="1"/>
    <xf numFmtId="3" fontId="13" fillId="0" borderId="0" xfId="14" applyNumberFormat="1" applyFont="1" applyBorder="1"/>
    <xf numFmtId="0" fontId="13" fillId="0" borderId="4" xfId="14" applyFont="1" applyBorder="1"/>
    <xf numFmtId="0" fontId="13" fillId="0" borderId="6" xfId="14" applyFont="1" applyBorder="1"/>
    <xf numFmtId="3" fontId="13" fillId="0" borderId="0" xfId="14" applyNumberFormat="1" applyFont="1" applyBorder="1" applyAlignment="1">
      <alignment horizontal="center"/>
    </xf>
    <xf numFmtId="0" fontId="13" fillId="0" borderId="4" xfId="14" applyFont="1" applyFill="1" applyBorder="1"/>
    <xf numFmtId="3" fontId="13" fillId="0" borderId="6" xfId="14" applyNumberFormat="1" applyFont="1" applyFill="1" applyBorder="1"/>
    <xf numFmtId="3" fontId="13" fillId="0" borderId="7" xfId="14" applyNumberFormat="1" applyFont="1" applyBorder="1" applyAlignment="1">
      <alignment horizontal="center"/>
    </xf>
    <xf numFmtId="3" fontId="13" fillId="0" borderId="8" xfId="14" applyNumberFormat="1" applyFont="1" applyBorder="1" applyAlignment="1">
      <alignment horizontal="center"/>
    </xf>
    <xf numFmtId="0" fontId="13" fillId="0" borderId="0" xfId="14" applyFont="1" applyFill="1" applyBorder="1"/>
    <xf numFmtId="3" fontId="13" fillId="0" borderId="4" xfId="14" applyNumberFormat="1" applyFont="1" applyBorder="1" applyAlignment="1">
      <alignment horizontal="center"/>
    </xf>
    <xf numFmtId="3" fontId="13" fillId="0" borderId="3" xfId="14" applyNumberFormat="1" applyFont="1" applyBorder="1"/>
    <xf numFmtId="3" fontId="13" fillId="0" borderId="2" xfId="14" applyNumberFormat="1" applyFont="1" applyBorder="1"/>
    <xf numFmtId="3" fontId="13" fillId="0" borderId="7" xfId="14" applyNumberFormat="1" applyFont="1" applyBorder="1" applyAlignment="1">
      <alignment horizontal="left"/>
    </xf>
    <xf numFmtId="3" fontId="13" fillId="4" borderId="5" xfId="14" applyNumberFormat="1" applyFont="1" applyFill="1" applyBorder="1"/>
    <xf numFmtId="3" fontId="13" fillId="4" borderId="0" xfId="14" applyNumberFormat="1" applyFont="1" applyFill="1" applyBorder="1" applyAlignment="1">
      <alignment horizontal="center"/>
    </xf>
    <xf numFmtId="3" fontId="13" fillId="4" borderId="6" xfId="14" applyNumberFormat="1" applyFont="1" applyFill="1" applyBorder="1" applyAlignment="1">
      <alignment horizontal="center"/>
    </xf>
    <xf numFmtId="0" fontId="13" fillId="0" borderId="7" xfId="14" applyFont="1" applyBorder="1" applyAlignment="1">
      <alignment horizontal="left"/>
    </xf>
    <xf numFmtId="0" fontId="13" fillId="0" borderId="8" xfId="14" applyFont="1" applyBorder="1"/>
    <xf numFmtId="0" fontId="13" fillId="0" borderId="0" xfId="14" applyNumberFormat="1" applyFont="1" applyBorder="1" applyAlignment="1">
      <alignment horizontal="center"/>
    </xf>
    <xf numFmtId="165" fontId="13" fillId="0" borderId="0" xfId="14" applyNumberFormat="1" applyFont="1" applyBorder="1" applyAlignment="1">
      <alignment horizontal="center"/>
    </xf>
    <xf numFmtId="3" fontId="11" fillId="0" borderId="1" xfId="14" applyNumberFormat="1" applyFont="1" applyFill="1" applyBorder="1"/>
    <xf numFmtId="0" fontId="13" fillId="0" borderId="0" xfId="14" applyFont="1" applyFill="1"/>
    <xf numFmtId="166" fontId="13" fillId="0" borderId="0" xfId="14" applyNumberFormat="1" applyFont="1" applyFill="1"/>
    <xf numFmtId="37" fontId="13" fillId="0" borderId="0" xfId="14" applyNumberFormat="1" applyFont="1" applyBorder="1" applyAlignment="1">
      <alignment horizontal="right"/>
    </xf>
    <xf numFmtId="37" fontId="13" fillId="0" borderId="8" xfId="14" applyNumberFormat="1" applyFont="1" applyBorder="1" applyAlignment="1">
      <alignment horizontal="right"/>
    </xf>
    <xf numFmtId="37" fontId="13" fillId="0" borderId="0" xfId="15" applyNumberFormat="1" applyFont="1" applyBorder="1" applyAlignment="1">
      <alignment horizontal="right"/>
    </xf>
    <xf numFmtId="37" fontId="11" fillId="0" borderId="0" xfId="14" applyNumberFormat="1" applyFont="1" applyBorder="1" applyAlignment="1">
      <alignment horizontal="right"/>
    </xf>
    <xf numFmtId="37" fontId="11" fillId="0" borderId="8" xfId="14" applyNumberFormat="1" applyFont="1" applyBorder="1" applyAlignment="1">
      <alignment horizontal="right"/>
    </xf>
    <xf numFmtId="37" fontId="13" fillId="0" borderId="6" xfId="14" applyNumberFormat="1" applyFont="1" applyBorder="1" applyAlignment="1">
      <alignment horizontal="right"/>
    </xf>
    <xf numFmtId="37" fontId="13" fillId="0" borderId="5" xfId="14" applyNumberFormat="1" applyFont="1" applyBorder="1" applyAlignment="1">
      <alignment horizontal="right"/>
    </xf>
    <xf numFmtId="0" fontId="16" fillId="2" borderId="0" xfId="0" applyFont="1" applyFill="1"/>
    <xf numFmtId="0" fontId="17" fillId="2" borderId="0" xfId="0" applyFont="1" applyFill="1"/>
    <xf numFmtId="0" fontId="16" fillId="2" borderId="0" xfId="0" applyFont="1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center"/>
    </xf>
    <xf numFmtId="5" fontId="16" fillId="2" borderId="0" xfId="0" applyNumberFormat="1" applyFont="1" applyFill="1"/>
    <xf numFmtId="0" fontId="16" fillId="2" borderId="17" xfId="0" applyFont="1" applyFill="1" applyBorder="1"/>
    <xf numFmtId="0" fontId="16" fillId="2" borderId="10" xfId="0" applyFont="1" applyFill="1" applyBorder="1"/>
    <xf numFmtId="0" fontId="17" fillId="2" borderId="18" xfId="0" applyFont="1" applyFill="1" applyBorder="1"/>
    <xf numFmtId="5" fontId="16" fillId="2" borderId="0" xfId="0" applyNumberFormat="1" applyFont="1" applyFill="1" applyAlignment="1">
      <alignment horizontal="left" indent="1"/>
    </xf>
    <xf numFmtId="0" fontId="16" fillId="2" borderId="0" xfId="0" applyFont="1" applyFill="1" applyAlignment="1">
      <alignment horizontal="left" indent="1"/>
    </xf>
    <xf numFmtId="5" fontId="17" fillId="2" borderId="0" xfId="0" applyNumberFormat="1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7" fillId="5" borderId="23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/>
    </xf>
    <xf numFmtId="0" fontId="16" fillId="0" borderId="0" xfId="0" applyFont="1" applyFill="1"/>
    <xf numFmtId="0" fontId="17" fillId="0" borderId="0" xfId="0" applyFont="1" applyFill="1"/>
    <xf numFmtId="43" fontId="16" fillId="2" borderId="0" xfId="19" applyFont="1" applyFill="1"/>
    <xf numFmtId="43" fontId="16" fillId="2" borderId="9" xfId="19" applyFont="1" applyFill="1" applyBorder="1"/>
    <xf numFmtId="43" fontId="16" fillId="0" borderId="0" xfId="19" applyFont="1" applyFill="1"/>
    <xf numFmtId="43" fontId="16" fillId="0" borderId="9" xfId="19" applyFont="1" applyFill="1" applyBorder="1"/>
    <xf numFmtId="0" fontId="17" fillId="0" borderId="23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2" borderId="0" xfId="0" applyFont="1" applyFill="1" applyAlignment="1">
      <alignment horizontal="left" indent="1"/>
    </xf>
    <xf numFmtId="43" fontId="17" fillId="2" borderId="0" xfId="19" applyFont="1" applyFill="1"/>
    <xf numFmtId="0" fontId="18" fillId="2" borderId="0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164" fontId="16" fillId="8" borderId="10" xfId="0" applyNumberFormat="1" applyFont="1" applyFill="1" applyBorder="1"/>
    <xf numFmtId="164" fontId="17" fillId="8" borderId="18" xfId="0" applyNumberFormat="1" applyFont="1" applyFill="1" applyBorder="1"/>
    <xf numFmtId="0" fontId="8" fillId="9" borderId="0" xfId="0" applyFont="1" applyFill="1"/>
    <xf numFmtId="0" fontId="8" fillId="9" borderId="14" xfId="0" applyFont="1" applyFill="1" applyBorder="1" applyAlignment="1">
      <alignment horizontal="center" wrapText="1"/>
    </xf>
    <xf numFmtId="164" fontId="13" fillId="10" borderId="0" xfId="0" applyNumberFormat="1" applyFont="1" applyFill="1" applyAlignment="1">
      <alignment horizontal="right"/>
    </xf>
    <xf numFmtId="164" fontId="8" fillId="9" borderId="15" xfId="0" applyNumberFormat="1" applyFont="1" applyFill="1" applyBorder="1" applyAlignment="1">
      <alignment horizontal="right"/>
    </xf>
    <xf numFmtId="0" fontId="17" fillId="8" borderId="0" xfId="0" applyFont="1" applyFill="1" applyBorder="1" applyAlignment="1">
      <alignment horizontal="center"/>
    </xf>
    <xf numFmtId="0" fontId="17" fillId="0" borderId="0" xfId="0" applyFont="1" applyFill="1" applyBorder="1"/>
    <xf numFmtId="0" fontId="16" fillId="2" borderId="17" xfId="0" applyNumberFormat="1" applyFont="1" applyFill="1" applyBorder="1" applyAlignment="1">
      <alignment horizontal="center"/>
    </xf>
    <xf numFmtId="0" fontId="16" fillId="2" borderId="10" xfId="0" applyNumberFormat="1" applyFont="1" applyFill="1" applyBorder="1" applyAlignment="1">
      <alignment horizontal="center"/>
    </xf>
    <xf numFmtId="164" fontId="16" fillId="8" borderId="9" xfId="0" applyNumberFormat="1" applyFont="1" applyFill="1" applyBorder="1"/>
    <xf numFmtId="0" fontId="19" fillId="8" borderId="6" xfId="0" applyFont="1" applyFill="1" applyBorder="1" applyAlignment="1">
      <alignment horizontal="center"/>
    </xf>
    <xf numFmtId="0" fontId="14" fillId="0" borderId="0" xfId="6" applyFont="1" applyFill="1" applyAlignment="1"/>
    <xf numFmtId="0" fontId="11" fillId="0" borderId="0" xfId="6" applyFont="1" applyFill="1" applyAlignment="1"/>
    <xf numFmtId="6" fontId="13" fillId="0" borderId="25" xfId="3" applyNumberFormat="1" applyFont="1" applyBorder="1"/>
    <xf numFmtId="6" fontId="13" fillId="0" borderId="35" xfId="3" applyNumberFormat="1" applyFont="1" applyBorder="1"/>
    <xf numFmtId="6" fontId="13" fillId="0" borderId="26" xfId="3" applyNumberFormat="1" applyFont="1" applyBorder="1"/>
    <xf numFmtId="6" fontId="13" fillId="0" borderId="27" xfId="3" applyNumberFormat="1" applyFont="1" applyBorder="1"/>
    <xf numFmtId="43" fontId="13" fillId="0" borderId="0" xfId="22" applyFont="1"/>
    <xf numFmtId="6" fontId="11" fillId="0" borderId="25" xfId="3" applyNumberFormat="1" applyFont="1" applyBorder="1"/>
    <xf numFmtId="6" fontId="11" fillId="0" borderId="35" xfId="3" applyNumberFormat="1" applyFont="1" applyBorder="1"/>
    <xf numFmtId="6" fontId="11" fillId="0" borderId="26" xfId="3" applyNumberFormat="1" applyFont="1" applyBorder="1"/>
    <xf numFmtId="6" fontId="11" fillId="0" borderId="27" xfId="3" applyNumberFormat="1" applyFont="1" applyBorder="1"/>
    <xf numFmtId="6" fontId="11" fillId="0" borderId="18" xfId="3" applyNumberFormat="1" applyFont="1" applyBorder="1"/>
    <xf numFmtId="43" fontId="13" fillId="0" borderId="0" xfId="23" applyFont="1" applyFill="1" applyBorder="1"/>
    <xf numFmtId="43" fontId="13" fillId="0" borderId="9" xfId="23" applyFont="1" applyFill="1" applyBorder="1"/>
    <xf numFmtId="43" fontId="13" fillId="0" borderId="9" xfId="22" applyFont="1" applyBorder="1"/>
    <xf numFmtId="43" fontId="13" fillId="0" borderId="0" xfId="22" applyFont="1" applyBorder="1"/>
    <xf numFmtId="165" fontId="13" fillId="0" borderId="0" xfId="22" applyNumberFormat="1" applyFont="1" applyFill="1" applyBorder="1"/>
    <xf numFmtId="165" fontId="13" fillId="0" borderId="0" xfId="22" applyNumberFormat="1" applyFont="1"/>
    <xf numFmtId="0" fontId="14" fillId="2" borderId="0" xfId="0" applyFont="1" applyFill="1" applyAlignment="1"/>
    <xf numFmtId="0" fontId="17" fillId="2" borderId="0" xfId="0" applyFont="1" applyFill="1" applyAlignment="1"/>
    <xf numFmtId="0" fontId="17" fillId="2" borderId="0" xfId="0" applyFont="1" applyFill="1" applyBorder="1" applyAlignment="1"/>
    <xf numFmtId="0" fontId="14" fillId="0" borderId="0" xfId="14" applyFont="1" applyBorder="1" applyAlignment="1"/>
    <xf numFmtId="0" fontId="11" fillId="0" borderId="0" xfId="14" applyFont="1" applyBorder="1" applyAlignment="1"/>
    <xf numFmtId="10" fontId="13" fillId="0" borderId="0" xfId="15" applyNumberFormat="1" applyFont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37" fontId="13" fillId="0" borderId="0" xfId="14" applyNumberFormat="1" applyFont="1" applyFill="1" applyBorder="1" applyAlignment="1">
      <alignment horizontal="right"/>
    </xf>
    <xf numFmtId="37" fontId="13" fillId="0" borderId="8" xfId="14" applyNumberFormat="1" applyFont="1" applyFill="1" applyBorder="1" applyAlignment="1">
      <alignment horizontal="right"/>
    </xf>
    <xf numFmtId="0" fontId="13" fillId="0" borderId="7" xfId="14" applyFont="1" applyBorder="1" applyAlignment="1">
      <alignment horizontal="left" indent="2"/>
    </xf>
    <xf numFmtId="37" fontId="11" fillId="0" borderId="0" xfId="15" applyNumberFormat="1" applyFont="1" applyFill="1" applyBorder="1" applyAlignment="1">
      <alignment horizontal="right"/>
    </xf>
    <xf numFmtId="37" fontId="11" fillId="0" borderId="8" xfId="15" applyNumberFormat="1" applyFont="1" applyFill="1" applyBorder="1" applyAlignment="1">
      <alignment horizontal="right"/>
    </xf>
    <xf numFmtId="0" fontId="13" fillId="0" borderId="7" xfId="14" applyFont="1" applyFill="1" applyBorder="1"/>
    <xf numFmtId="37" fontId="13" fillId="0" borderId="0" xfId="15" applyNumberFormat="1" applyFont="1" applyFill="1" applyBorder="1" applyAlignment="1">
      <alignment horizontal="right"/>
    </xf>
    <xf numFmtId="0" fontId="25" fillId="0" borderId="0" xfId="14" applyFont="1"/>
    <xf numFmtId="0" fontId="19" fillId="6" borderId="19" xfId="0" applyFont="1" applyFill="1" applyBorder="1" applyAlignment="1">
      <alignment horizontal="center"/>
    </xf>
    <xf numFmtId="37" fontId="11" fillId="7" borderId="0" xfId="14" applyNumberFormat="1" applyFont="1" applyFill="1" applyBorder="1" applyAlignment="1">
      <alignment horizontal="right"/>
    </xf>
    <xf numFmtId="0" fontId="13" fillId="0" borderId="4" xfId="14" applyFont="1" applyBorder="1" applyAlignment="1">
      <alignment horizontal="left" indent="2"/>
    </xf>
    <xf numFmtId="0" fontId="13" fillId="0" borderId="43" xfId="14" applyFont="1" applyBorder="1"/>
    <xf numFmtId="37" fontId="13" fillId="0" borderId="9" xfId="14" applyNumberFormat="1" applyFont="1" applyBorder="1" applyAlignment="1">
      <alignment horizontal="right"/>
    </xf>
    <xf numFmtId="37" fontId="13" fillId="0" borderId="16" xfId="14" applyNumberFormat="1" applyFont="1" applyBorder="1" applyAlignment="1">
      <alignment horizontal="right"/>
    </xf>
    <xf numFmtId="0" fontId="13" fillId="0" borderId="45" xfId="14" applyFont="1" applyBorder="1"/>
    <xf numFmtId="37" fontId="13" fillId="0" borderId="45" xfId="14" applyNumberFormat="1" applyFont="1" applyBorder="1" applyAlignment="1">
      <alignment horizontal="right"/>
    </xf>
    <xf numFmtId="37" fontId="13" fillId="0" borderId="45" xfId="15" applyNumberFormat="1" applyFont="1" applyBorder="1" applyAlignment="1">
      <alignment horizontal="right"/>
    </xf>
    <xf numFmtId="37" fontId="11" fillId="0" borderId="45" xfId="14" applyNumberFormat="1" applyFont="1" applyBorder="1" applyAlignment="1">
      <alignment horizontal="right"/>
    </xf>
    <xf numFmtId="37" fontId="13" fillId="0" borderId="45" xfId="15" applyNumberFormat="1" applyFont="1" applyFill="1" applyBorder="1" applyAlignment="1">
      <alignment horizontal="right"/>
    </xf>
    <xf numFmtId="37" fontId="13" fillId="0" borderId="46" xfId="14" applyNumberFormat="1" applyFont="1" applyBorder="1" applyAlignment="1">
      <alignment horizontal="right"/>
    </xf>
    <xf numFmtId="37" fontId="13" fillId="0" borderId="45" xfId="14" applyNumberFormat="1" applyFont="1" applyFill="1" applyBorder="1" applyAlignment="1">
      <alignment horizontal="right"/>
    </xf>
    <xf numFmtId="37" fontId="11" fillId="7" borderId="45" xfId="14" applyNumberFormat="1" applyFont="1" applyFill="1" applyBorder="1" applyAlignment="1">
      <alignment horizontal="right"/>
    </xf>
    <xf numFmtId="43" fontId="11" fillId="0" borderId="0" xfId="22" applyFont="1"/>
    <xf numFmtId="0" fontId="13" fillId="0" borderId="0" xfId="14" applyFont="1" applyAlignment="1">
      <alignment horizontal="left" indent="2"/>
    </xf>
    <xf numFmtId="0" fontId="11" fillId="0" borderId="7" xfId="14" applyFont="1" applyBorder="1" applyAlignment="1">
      <alignment horizontal="center"/>
    </xf>
    <xf numFmtId="0" fontId="11" fillId="0" borderId="44" xfId="14" applyFont="1" applyBorder="1" applyAlignment="1">
      <alignment horizontal="center"/>
    </xf>
    <xf numFmtId="0" fontId="11" fillId="0" borderId="3" xfId="14" applyFont="1" applyBorder="1" applyAlignment="1">
      <alignment horizontal="center"/>
    </xf>
    <xf numFmtId="0" fontId="11" fillId="0" borderId="2" xfId="14" applyFont="1" applyBorder="1" applyAlignment="1">
      <alignment horizontal="center"/>
    </xf>
    <xf numFmtId="0" fontId="11" fillId="0" borderId="45" xfId="14" applyFont="1" applyBorder="1" applyAlignment="1">
      <alignment horizontal="center"/>
    </xf>
    <xf numFmtId="0" fontId="11" fillId="0" borderId="0" xfId="14" applyFont="1" applyBorder="1" applyAlignment="1">
      <alignment horizontal="center"/>
    </xf>
    <xf numFmtId="0" fontId="11" fillId="0" borderId="8" xfId="14" applyFont="1" applyBorder="1" applyAlignment="1">
      <alignment horizontal="center"/>
    </xf>
    <xf numFmtId="0" fontId="11" fillId="0" borderId="43" xfId="14" applyFont="1" applyBorder="1" applyAlignment="1">
      <alignment vertical="top"/>
    </xf>
    <xf numFmtId="0" fontId="11" fillId="0" borderId="46" xfId="14" applyFont="1" applyBorder="1" applyAlignment="1">
      <alignment horizontal="center" vertical="top"/>
    </xf>
    <xf numFmtId="0" fontId="11" fillId="0" borderId="9" xfId="14" applyFont="1" applyBorder="1" applyAlignment="1">
      <alignment horizontal="center" vertical="top"/>
    </xf>
    <xf numFmtId="0" fontId="11" fillId="0" borderId="16" xfId="14" applyFont="1" applyBorder="1" applyAlignment="1">
      <alignment horizontal="center" vertical="top"/>
    </xf>
    <xf numFmtId="0" fontId="13" fillId="0" borderId="0" xfId="14" applyFont="1" applyAlignment="1">
      <alignment vertical="top"/>
    </xf>
    <xf numFmtId="0" fontId="11" fillId="7" borderId="7" xfId="14" applyFont="1" applyFill="1" applyBorder="1"/>
    <xf numFmtId="37" fontId="13" fillId="7" borderId="45" xfId="14" applyNumberFormat="1" applyFont="1" applyFill="1" applyBorder="1" applyAlignment="1">
      <alignment horizontal="right"/>
    </xf>
    <xf numFmtId="37" fontId="13" fillId="7" borderId="0" xfId="14" applyNumberFormat="1" applyFont="1" applyFill="1" applyBorder="1" applyAlignment="1">
      <alignment horizontal="right"/>
    </xf>
    <xf numFmtId="37" fontId="13" fillId="7" borderId="8" xfId="14" applyNumberFormat="1" applyFont="1" applyFill="1" applyBorder="1" applyAlignment="1">
      <alignment horizontal="right"/>
    </xf>
    <xf numFmtId="37" fontId="13" fillId="7" borderId="0" xfId="6" applyNumberFormat="1" applyFont="1" applyFill="1" applyBorder="1" applyAlignment="1">
      <alignment horizontal="right"/>
    </xf>
    <xf numFmtId="37" fontId="11" fillId="7" borderId="8" xfId="15" applyNumberFormat="1" applyFont="1" applyFill="1" applyBorder="1" applyAlignment="1">
      <alignment horizontal="right"/>
    </xf>
    <xf numFmtId="0" fontId="13" fillId="7" borderId="7" xfId="14" applyFont="1" applyFill="1" applyBorder="1" applyAlignment="1">
      <alignment horizontal="left" indent="2"/>
    </xf>
    <xf numFmtId="37" fontId="11" fillId="7" borderId="8" xfId="14" applyNumberFormat="1" applyFont="1" applyFill="1" applyBorder="1" applyAlignment="1">
      <alignment horizontal="right"/>
    </xf>
    <xf numFmtId="43" fontId="13" fillId="0" borderId="8" xfId="19" applyFont="1" applyBorder="1"/>
    <xf numFmtId="43" fontId="13" fillId="0" borderId="8" xfId="19" applyFont="1" applyBorder="1" applyAlignment="1">
      <alignment horizontal="right"/>
    </xf>
    <xf numFmtId="43" fontId="13" fillId="0" borderId="5" xfId="19" applyFont="1" applyBorder="1"/>
    <xf numFmtId="37" fontId="11" fillId="0" borderId="0" xfId="14" applyNumberFormat="1" applyFont="1" applyBorder="1" applyAlignment="1"/>
    <xf numFmtId="0" fontId="27" fillId="0" borderId="0" xfId="0" applyFont="1" applyBorder="1" applyAlignment="1">
      <alignment horizontal="center" wrapText="1"/>
    </xf>
    <xf numFmtId="0" fontId="27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28" fillId="0" borderId="0" xfId="24" applyFont="1" applyFill="1" applyBorder="1" applyAlignment="1">
      <alignment horizontal="left" wrapText="1"/>
    </xf>
    <xf numFmtId="3" fontId="0" fillId="0" borderId="0" xfId="0" applyNumberFormat="1" applyBorder="1"/>
    <xf numFmtId="0" fontId="0" fillId="0" borderId="49" xfId="0" applyBorder="1"/>
    <xf numFmtId="0" fontId="28" fillId="0" borderId="48" xfId="24" applyFont="1" applyFill="1" applyBorder="1" applyAlignment="1">
      <alignment horizontal="left" wrapText="1"/>
    </xf>
    <xf numFmtId="3" fontId="0" fillId="0" borderId="48" xfId="0" applyNumberFormat="1" applyBorder="1"/>
    <xf numFmtId="3" fontId="0" fillId="0" borderId="50" xfId="0" applyNumberFormat="1" applyBorder="1"/>
    <xf numFmtId="0" fontId="13" fillId="0" borderId="0" xfId="0" pivotButton="1" applyFont="1"/>
    <xf numFmtId="41" fontId="13" fillId="0" borderId="0" xfId="0" applyNumberFormat="1" applyFont="1"/>
    <xf numFmtId="5" fontId="16" fillId="0" borderId="9" xfId="0" applyNumberFormat="1" applyFont="1" applyFill="1" applyBorder="1"/>
    <xf numFmtId="3" fontId="16" fillId="0" borderId="9" xfId="0" applyNumberFormat="1" applyFont="1" applyFill="1" applyBorder="1"/>
    <xf numFmtId="167" fontId="16" fillId="0" borderId="9" xfId="0" applyNumberFormat="1" applyFont="1" applyFill="1" applyBorder="1"/>
    <xf numFmtId="0" fontId="16" fillId="0" borderId="9" xfId="0" applyFont="1" applyFill="1" applyBorder="1"/>
    <xf numFmtId="0" fontId="16" fillId="0" borderId="9" xfId="0" applyFont="1" applyFill="1" applyBorder="1" applyAlignment="1">
      <alignment horizontal="center"/>
    </xf>
    <xf numFmtId="5" fontId="16" fillId="0" borderId="0" xfId="0" applyNumberFormat="1" applyFont="1" applyFill="1"/>
    <xf numFmtId="3" fontId="16" fillId="0" borderId="0" xfId="0" applyNumberFormat="1" applyFont="1" applyFill="1"/>
    <xf numFmtId="167" fontId="16" fillId="0" borderId="0" xfId="0" applyNumberFormat="1" applyFont="1" applyFill="1"/>
    <xf numFmtId="0" fontId="16" fillId="0" borderId="6" xfId="0" applyFont="1" applyFill="1" applyBorder="1" applyAlignment="1">
      <alignment horizontal="center"/>
    </xf>
    <xf numFmtId="0" fontId="16" fillId="0" borderId="6" xfId="0" applyFont="1" applyFill="1" applyBorder="1"/>
    <xf numFmtId="3" fontId="16" fillId="0" borderId="6" xfId="0" applyNumberFormat="1" applyFont="1" applyFill="1" applyBorder="1"/>
    <xf numFmtId="5" fontId="16" fillId="0" borderId="6" xfId="0" applyNumberFormat="1" applyFont="1" applyFill="1" applyBorder="1"/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/>
    <xf numFmtId="0" fontId="17" fillId="0" borderId="0" xfId="0" quotePrefix="1" applyFont="1" applyFill="1" applyBorder="1" applyAlignment="1"/>
    <xf numFmtId="5" fontId="17" fillId="0" borderId="0" xfId="0" applyNumberFormat="1" applyFont="1" applyFill="1"/>
    <xf numFmtId="3" fontId="17" fillId="0" borderId="0" xfId="0" applyNumberFormat="1" applyFont="1" applyFill="1"/>
    <xf numFmtId="167" fontId="17" fillId="0" borderId="0" xfId="0" applyNumberFormat="1" applyFont="1" applyFill="1"/>
    <xf numFmtId="0" fontId="16" fillId="0" borderId="0" xfId="0" applyFont="1" applyFill="1" applyBorder="1"/>
    <xf numFmtId="3" fontId="16" fillId="0" borderId="0" xfId="0" applyNumberFormat="1" applyFont="1" applyFill="1" applyBorder="1"/>
    <xf numFmtId="5" fontId="16" fillId="0" borderId="0" xfId="0" applyNumberFormat="1" applyFont="1" applyFill="1" applyBorder="1"/>
    <xf numFmtId="0" fontId="16" fillId="0" borderId="0" xfId="0" applyFont="1" applyFill="1" applyAlignment="1">
      <alignment horizontal="right"/>
    </xf>
    <xf numFmtId="0" fontId="16" fillId="0" borderId="44" xfId="0" applyFont="1" applyFill="1" applyBorder="1"/>
    <xf numFmtId="5" fontId="16" fillId="0" borderId="46" xfId="0" applyNumberFormat="1" applyFont="1" applyFill="1" applyBorder="1"/>
    <xf numFmtId="5" fontId="16" fillId="0" borderId="45" xfId="0" applyNumberFormat="1" applyFont="1" applyFill="1" applyBorder="1"/>
    <xf numFmtId="5" fontId="17" fillId="0" borderId="45" xfId="0" applyNumberFormat="1" applyFont="1" applyFill="1" applyBorder="1"/>
    <xf numFmtId="5" fontId="16" fillId="0" borderId="47" xfId="0" applyNumberFormat="1" applyFont="1" applyFill="1" applyBorder="1"/>
    <xf numFmtId="0" fontId="16" fillId="0" borderId="3" xfId="0" applyFont="1" applyFill="1" applyBorder="1"/>
    <xf numFmtId="5" fontId="17" fillId="0" borderId="0" xfId="0" applyNumberFormat="1" applyFont="1" applyFill="1" applyBorder="1"/>
    <xf numFmtId="0" fontId="16" fillId="0" borderId="51" xfId="0" applyFont="1" applyFill="1" applyBorder="1"/>
    <xf numFmtId="5" fontId="16" fillId="0" borderId="52" xfId="0" applyNumberFormat="1" applyFont="1" applyFill="1" applyBorder="1"/>
    <xf numFmtId="5" fontId="16" fillId="0" borderId="53" xfId="0" applyNumberFormat="1" applyFont="1" applyFill="1" applyBorder="1"/>
    <xf numFmtId="5" fontId="17" fillId="0" borderId="53" xfId="0" applyNumberFormat="1" applyFont="1" applyFill="1" applyBorder="1"/>
    <xf numFmtId="5" fontId="16" fillId="0" borderId="54" xfId="0" applyNumberFormat="1" applyFont="1" applyFill="1" applyBorder="1"/>
    <xf numFmtId="0" fontId="11" fillId="0" borderId="3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6" xfId="0" applyFont="1" applyFill="1" applyBorder="1" applyAlignment="1">
      <alignment horizontal="center"/>
    </xf>
    <xf numFmtId="7" fontId="17" fillId="2" borderId="0" xfId="0" applyNumberFormat="1" applyFont="1" applyFill="1" applyBorder="1" applyAlignment="1"/>
    <xf numFmtId="7" fontId="16" fillId="2" borderId="0" xfId="0" applyNumberFormat="1" applyFont="1" applyFill="1" applyBorder="1"/>
    <xf numFmtId="37" fontId="13" fillId="0" borderId="47" xfId="15" applyNumberFormat="1" applyFont="1" applyBorder="1" applyAlignment="1">
      <alignment horizontal="right"/>
    </xf>
    <xf numFmtId="0" fontId="14" fillId="11" borderId="0" xfId="6" applyFont="1" applyFill="1" applyAlignment="1"/>
    <xf numFmtId="0" fontId="13" fillId="11" borderId="0" xfId="6" applyFont="1" applyFill="1"/>
    <xf numFmtId="0" fontId="11" fillId="11" borderId="0" xfId="6" applyFont="1" applyFill="1" applyAlignment="1"/>
    <xf numFmtId="0" fontId="11" fillId="11" borderId="0" xfId="6" applyFont="1" applyFill="1" applyAlignment="1">
      <alignment horizontal="center"/>
    </xf>
    <xf numFmtId="0" fontId="11" fillId="11" borderId="3" xfId="6" applyFont="1" applyFill="1" applyBorder="1" applyAlignment="1">
      <alignment horizontal="center"/>
    </xf>
    <xf numFmtId="0" fontId="11" fillId="4" borderId="3" xfId="6" applyFont="1" applyFill="1" applyBorder="1" applyAlignment="1">
      <alignment horizontal="center"/>
    </xf>
    <xf numFmtId="0" fontId="11" fillId="12" borderId="23" xfId="6" applyFont="1" applyFill="1" applyBorder="1" applyAlignment="1">
      <alignment horizontal="center"/>
    </xf>
    <xf numFmtId="0" fontId="11" fillId="7" borderId="23" xfId="6" applyFont="1" applyFill="1" applyBorder="1" applyAlignment="1">
      <alignment horizontal="center"/>
    </xf>
    <xf numFmtId="0" fontId="11" fillId="11" borderId="0" xfId="6" applyFont="1" applyFill="1" applyBorder="1"/>
    <xf numFmtId="0" fontId="11" fillId="11" borderId="0" xfId="6" applyFont="1" applyFill="1"/>
    <xf numFmtId="0" fontId="11" fillId="11" borderId="0" xfId="6" applyFont="1" applyFill="1" applyBorder="1" applyAlignment="1">
      <alignment horizontal="center"/>
    </xf>
    <xf numFmtId="0" fontId="11" fillId="4" borderId="0" xfId="6" applyFont="1" applyFill="1" applyBorder="1" applyAlignment="1">
      <alignment horizontal="center"/>
    </xf>
    <xf numFmtId="5" fontId="11" fillId="11" borderId="0" xfId="6" applyNumberFormat="1" applyFont="1" applyFill="1" applyBorder="1" applyAlignment="1">
      <alignment horizontal="center"/>
    </xf>
    <xf numFmtId="5" fontId="11" fillId="12" borderId="13" xfId="6" applyNumberFormat="1" applyFont="1" applyFill="1" applyBorder="1" applyAlignment="1">
      <alignment horizontal="center"/>
    </xf>
    <xf numFmtId="5" fontId="11" fillId="7" borderId="13" xfId="6" applyNumberFormat="1" applyFont="1" applyFill="1" applyBorder="1" applyAlignment="1">
      <alignment horizontal="center"/>
    </xf>
    <xf numFmtId="0" fontId="11" fillId="12" borderId="13" xfId="6" applyFont="1" applyFill="1" applyBorder="1" applyAlignment="1">
      <alignment horizontal="center"/>
    </xf>
    <xf numFmtId="0" fontId="11" fillId="7" borderId="13" xfId="6" applyFont="1" applyFill="1" applyBorder="1" applyAlignment="1">
      <alignment horizontal="center"/>
    </xf>
    <xf numFmtId="0" fontId="11" fillId="11" borderId="6" xfId="6" applyFont="1" applyFill="1" applyBorder="1" applyAlignment="1">
      <alignment horizontal="center"/>
    </xf>
    <xf numFmtId="0" fontId="11" fillId="4" borderId="6" xfId="6" applyFont="1" applyFill="1" applyBorder="1" applyAlignment="1">
      <alignment horizontal="center"/>
    </xf>
    <xf numFmtId="0" fontId="11" fillId="12" borderId="19" xfId="6" applyFont="1" applyFill="1" applyBorder="1" applyAlignment="1">
      <alignment horizontal="center"/>
    </xf>
    <xf numFmtId="0" fontId="11" fillId="7" borderId="19" xfId="6" applyFont="1" applyFill="1" applyBorder="1" applyAlignment="1">
      <alignment horizontal="center"/>
    </xf>
    <xf numFmtId="0" fontId="13" fillId="11" borderId="9" xfId="6" applyNumberFormat="1" applyFont="1" applyFill="1" applyBorder="1" applyAlignment="1">
      <alignment horizontal="left" indent="1"/>
    </xf>
    <xf numFmtId="3" fontId="13" fillId="11" borderId="9" xfId="6" applyNumberFormat="1" applyFont="1" applyFill="1" applyBorder="1"/>
    <xf numFmtId="167" fontId="13" fillId="11" borderId="9" xfId="6" applyNumberFormat="1" applyFont="1" applyFill="1" applyBorder="1"/>
    <xf numFmtId="0" fontId="13" fillId="11" borderId="9" xfId="6" applyFont="1" applyFill="1" applyBorder="1"/>
    <xf numFmtId="0" fontId="11" fillId="11" borderId="6" xfId="6" applyFont="1" applyFill="1" applyBorder="1"/>
    <xf numFmtId="3" fontId="11" fillId="11" borderId="6" xfId="6" applyNumberFormat="1" applyFont="1" applyFill="1" applyBorder="1"/>
    <xf numFmtId="167" fontId="11" fillId="11" borderId="6" xfId="6" applyNumberFormat="1" applyFont="1" applyFill="1" applyBorder="1"/>
    <xf numFmtId="5" fontId="11" fillId="11" borderId="0" xfId="6" applyNumberFormat="1" applyFont="1" applyFill="1"/>
    <xf numFmtId="3" fontId="11" fillId="11" borderId="0" xfId="6" applyNumberFormat="1" applyFont="1" applyFill="1"/>
    <xf numFmtId="167" fontId="11" fillId="11" borderId="0" xfId="6" applyNumberFormat="1" applyFont="1" applyFill="1"/>
    <xf numFmtId="5" fontId="11" fillId="11" borderId="0" xfId="6" applyNumberFormat="1" applyFont="1" applyFill="1" applyBorder="1"/>
    <xf numFmtId="0" fontId="11" fillId="11" borderId="0" xfId="6" applyFont="1" applyFill="1" applyAlignment="1">
      <alignment horizontal="right"/>
    </xf>
    <xf numFmtId="167" fontId="13" fillId="11" borderId="0" xfId="6" applyNumberFormat="1" applyFont="1" applyFill="1"/>
    <xf numFmtId="43" fontId="13" fillId="11" borderId="0" xfId="27" applyFont="1" applyFill="1"/>
    <xf numFmtId="43" fontId="11" fillId="11" borderId="0" xfId="6" applyNumberFormat="1" applyFont="1" applyFill="1" applyBorder="1"/>
    <xf numFmtId="43" fontId="13" fillId="11" borderId="9" xfId="27" applyFont="1" applyFill="1" applyBorder="1"/>
    <xf numFmtId="5" fontId="13" fillId="11" borderId="0" xfId="6" applyNumberFormat="1" applyFont="1" applyFill="1"/>
    <xf numFmtId="10" fontId="13" fillId="0" borderId="45" xfId="28" applyNumberFormat="1" applyFont="1" applyFill="1" applyBorder="1" applyAlignment="1">
      <alignment horizontal="right"/>
    </xf>
    <xf numFmtId="10" fontId="13" fillId="0" borderId="53" xfId="28" applyNumberFormat="1" applyFont="1" applyFill="1" applyBorder="1" applyAlignment="1">
      <alignment horizontal="right"/>
    </xf>
    <xf numFmtId="10" fontId="13" fillId="0" borderId="0" xfId="28" applyNumberFormat="1" applyFont="1" applyFill="1" applyBorder="1" applyAlignment="1">
      <alignment horizontal="right"/>
    </xf>
    <xf numFmtId="10" fontId="13" fillId="0" borderId="8" xfId="28" applyNumberFormat="1" applyFont="1" applyFill="1" applyBorder="1" applyAlignment="1">
      <alignment horizontal="right"/>
    </xf>
    <xf numFmtId="0" fontId="13" fillId="7" borderId="7" xfId="14" applyFont="1" applyFill="1" applyBorder="1"/>
    <xf numFmtId="8" fontId="16" fillId="2" borderId="10" xfId="19" applyNumberFormat="1" applyFont="1" applyFill="1" applyBorder="1"/>
    <xf numFmtId="8" fontId="16" fillId="2" borderId="17" xfId="19" applyNumberFormat="1" applyFont="1" applyFill="1" applyBorder="1"/>
    <xf numFmtId="8" fontId="16" fillId="5" borderId="20" xfId="19" applyNumberFormat="1" applyFont="1" applyFill="1" applyBorder="1"/>
    <xf numFmtId="8" fontId="16" fillId="6" borderId="24" xfId="19" applyNumberFormat="1" applyFont="1" applyFill="1" applyBorder="1"/>
    <xf numFmtId="8" fontId="16" fillId="0" borderId="20" xfId="19" applyNumberFormat="1" applyFont="1" applyFill="1" applyBorder="1"/>
    <xf numFmtId="8" fontId="16" fillId="4" borderId="17" xfId="19" applyNumberFormat="1" applyFont="1" applyFill="1" applyBorder="1"/>
    <xf numFmtId="8" fontId="16" fillId="5" borderId="21" xfId="19" applyNumberFormat="1" applyFont="1" applyFill="1" applyBorder="1"/>
    <xf numFmtId="8" fontId="16" fillId="0" borderId="21" xfId="19" applyNumberFormat="1" applyFont="1" applyFill="1" applyBorder="1"/>
    <xf numFmtId="8" fontId="16" fillId="4" borderId="10" xfId="19" applyNumberFormat="1" applyFont="1" applyFill="1" applyBorder="1"/>
    <xf numFmtId="8" fontId="16" fillId="0" borderId="10" xfId="19" applyNumberFormat="1" applyFont="1" applyFill="1" applyBorder="1"/>
    <xf numFmtId="8" fontId="17" fillId="2" borderId="18" xfId="19" applyNumberFormat="1" applyFont="1" applyFill="1" applyBorder="1"/>
    <xf numFmtId="8" fontId="17" fillId="5" borderId="22" xfId="19" applyNumberFormat="1" applyFont="1" applyFill="1" applyBorder="1"/>
    <xf numFmtId="8" fontId="17" fillId="6" borderId="22" xfId="19" applyNumberFormat="1" applyFont="1" applyFill="1" applyBorder="1"/>
    <xf numFmtId="8" fontId="17" fillId="0" borderId="22" xfId="19" applyNumberFormat="1" applyFont="1" applyFill="1" applyBorder="1"/>
    <xf numFmtId="8" fontId="17" fillId="4" borderId="18" xfId="19" applyNumberFormat="1" applyFont="1" applyFill="1" applyBorder="1"/>
    <xf numFmtId="6" fontId="11" fillId="4" borderId="6" xfId="6" applyNumberFormat="1" applyFont="1" applyFill="1" applyBorder="1"/>
    <xf numFmtId="6" fontId="13" fillId="11" borderId="9" xfId="6" applyNumberFormat="1" applyFont="1" applyFill="1" applyBorder="1"/>
    <xf numFmtId="6" fontId="11" fillId="11" borderId="6" xfId="6" applyNumberFormat="1" applyFont="1" applyFill="1" applyBorder="1"/>
    <xf numFmtId="6" fontId="13" fillId="12" borderId="24" xfId="6" applyNumberFormat="1" applyFont="1" applyFill="1" applyBorder="1"/>
    <xf numFmtId="6" fontId="13" fillId="7" borderId="24" xfId="6" applyNumberFormat="1" applyFont="1" applyFill="1" applyBorder="1"/>
    <xf numFmtId="6" fontId="11" fillId="12" borderId="19" xfId="6" applyNumberFormat="1" applyFont="1" applyFill="1" applyBorder="1"/>
    <xf numFmtId="6" fontId="11" fillId="7" borderId="19" xfId="6" applyNumberFormat="1" applyFont="1" applyFill="1" applyBorder="1"/>
    <xf numFmtId="6" fontId="11" fillId="11" borderId="0" xfId="6" applyNumberFormat="1" applyFont="1" applyFill="1"/>
    <xf numFmtId="6" fontId="11" fillId="11" borderId="0" xfId="6" applyNumberFormat="1" applyFont="1" applyFill="1" applyBorder="1"/>
    <xf numFmtId="5" fontId="13" fillId="4" borderId="9" xfId="6" applyNumberFormat="1" applyFont="1" applyFill="1" applyBorder="1"/>
    <xf numFmtId="5" fontId="13" fillId="4" borderId="9" xfId="6" applyNumberFormat="1" applyFont="1" applyFill="1" applyBorder="1"/>
    <xf numFmtId="0" fontId="17" fillId="2" borderId="0" xfId="26" applyFont="1" applyFill="1" applyBorder="1" applyAlignment="1">
      <alignment horizontal="center"/>
    </xf>
    <xf numFmtId="5" fontId="17" fillId="2" borderId="0" xfId="26" applyNumberFormat="1" applyFont="1" applyFill="1" applyBorder="1" applyAlignment="1">
      <alignment horizontal="center"/>
    </xf>
    <xf numFmtId="0" fontId="18" fillId="2" borderId="0" xfId="26" applyFont="1" applyFill="1" applyBorder="1" applyAlignment="1">
      <alignment horizontal="center"/>
    </xf>
    <xf numFmtId="0" fontId="18" fillId="2" borderId="0" xfId="26" applyFont="1" applyFill="1" applyAlignment="1">
      <alignment horizontal="center"/>
    </xf>
    <xf numFmtId="5" fontId="16" fillId="2" borderId="0" xfId="26" applyNumberFormat="1" applyFont="1" applyFill="1" applyAlignment="1">
      <alignment horizontal="center"/>
    </xf>
    <xf numFmtId="43" fontId="16" fillId="2" borderId="0" xfId="27" applyFont="1" applyFill="1"/>
    <xf numFmtId="43" fontId="16" fillId="2" borderId="9" xfId="27" applyFont="1" applyFill="1" applyBorder="1"/>
    <xf numFmtId="43" fontId="17" fillId="2" borderId="0" xfId="27" applyFont="1" applyFill="1"/>
    <xf numFmtId="43" fontId="16" fillId="0" borderId="9" xfId="27" applyFont="1" applyFill="1" applyBorder="1"/>
    <xf numFmtId="43" fontId="16" fillId="0" borderId="0" xfId="27" applyFont="1" applyFill="1"/>
    <xf numFmtId="5" fontId="16" fillId="2" borderId="0" xfId="0" applyNumberFormat="1" applyFont="1" applyFill="1" applyAlignment="1">
      <alignment horizontal="center"/>
    </xf>
    <xf numFmtId="0" fontId="11" fillId="3" borderId="11" xfId="32" applyFont="1" applyFill="1" applyBorder="1" applyAlignment="1">
      <alignment wrapText="1"/>
    </xf>
    <xf numFmtId="0" fontId="11" fillId="3" borderId="12" xfId="32" applyFont="1" applyFill="1" applyBorder="1" applyAlignment="1">
      <alignment wrapText="1"/>
    </xf>
    <xf numFmtId="0" fontId="11" fillId="3" borderId="12" xfId="32" applyFont="1" applyFill="1" applyBorder="1" applyAlignment="1">
      <alignment horizontal="center" wrapText="1"/>
    </xf>
    <xf numFmtId="37" fontId="13" fillId="0" borderId="0" xfId="14" applyNumberFormat="1" applyFont="1"/>
    <xf numFmtId="0" fontId="11" fillId="0" borderId="0" xfId="14" applyFont="1" applyAlignment="1">
      <alignment horizontal="center" vertical="top"/>
    </xf>
    <xf numFmtId="0" fontId="13" fillId="0" borderId="0" xfId="0" applyFont="1" applyFill="1"/>
    <xf numFmtId="0" fontId="13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34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7" borderId="34" xfId="0" applyNumberFormat="1" applyFont="1" applyFill="1" applyBorder="1"/>
    <xf numFmtId="3" fontId="21" fillId="7" borderId="21" xfId="0" applyNumberFormat="1" applyFont="1" applyFill="1" applyBorder="1"/>
    <xf numFmtId="6" fontId="13" fillId="0" borderId="21" xfId="3" applyNumberFormat="1" applyFont="1" applyBorder="1"/>
    <xf numFmtId="0" fontId="13" fillId="0" borderId="36" xfId="0" applyFont="1" applyBorder="1" applyAlignment="1">
      <alignment horizontal="center"/>
    </xf>
    <xf numFmtId="6" fontId="13" fillId="0" borderId="21" xfId="0" applyNumberFormat="1" applyFont="1" applyBorder="1"/>
    <xf numFmtId="6" fontId="13" fillId="0" borderId="35" xfId="0" applyNumberFormat="1" applyFont="1" applyBorder="1"/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6" fontId="13" fillId="0" borderId="38" xfId="0" applyNumberFormat="1" applyFont="1" applyBorder="1"/>
    <xf numFmtId="6" fontId="13" fillId="0" borderId="10" xfId="0" applyNumberFormat="1" applyFont="1" applyBorder="1"/>
    <xf numFmtId="6" fontId="13" fillId="0" borderId="26" xfId="22" applyNumberFormat="1" applyFont="1" applyBorder="1"/>
    <xf numFmtId="6" fontId="13" fillId="0" borderId="27" xfId="0" applyNumberFormat="1" applyFont="1" applyBorder="1"/>
    <xf numFmtId="6" fontId="13" fillId="0" borderId="0" xfId="0" applyNumberFormat="1" applyFont="1" applyFill="1" applyBorder="1"/>
    <xf numFmtId="0" fontId="11" fillId="0" borderId="25" xfId="0" applyFont="1" applyBorder="1" applyAlignment="1">
      <alignment horizontal="center"/>
    </xf>
    <xf numFmtId="3" fontId="11" fillId="7" borderId="34" xfId="0" applyNumberFormat="1" applyFont="1" applyFill="1" applyBorder="1" applyAlignment="1" applyProtection="1">
      <alignment horizontal="right"/>
    </xf>
    <xf numFmtId="3" fontId="11" fillId="7" borderId="21" xfId="0" applyNumberFormat="1" applyFont="1" applyFill="1" applyBorder="1" applyAlignment="1" applyProtection="1">
      <alignment horizontal="right"/>
    </xf>
    <xf numFmtId="6" fontId="11" fillId="0" borderId="21" xfId="3" applyNumberFormat="1" applyFont="1" applyBorder="1"/>
    <xf numFmtId="0" fontId="11" fillId="0" borderId="39" xfId="0" applyFont="1" applyBorder="1"/>
    <xf numFmtId="6" fontId="11" fillId="0" borderId="22" xfId="0" applyNumberFormat="1" applyFont="1" applyBorder="1"/>
    <xf numFmtId="0" fontId="11" fillId="0" borderId="40" xfId="0" applyFont="1" applyBorder="1" applyAlignment="1">
      <alignment horizontal="center"/>
    </xf>
    <xf numFmtId="0" fontId="11" fillId="0" borderId="41" xfId="0" applyFont="1" applyBorder="1"/>
    <xf numFmtId="6" fontId="11" fillId="0" borderId="42" xfId="0" applyNumberFormat="1" applyFont="1" applyBorder="1"/>
    <xf numFmtId="6" fontId="11" fillId="0" borderId="41" xfId="0" applyNumberFormat="1" applyFont="1" applyBorder="1"/>
    <xf numFmtId="6" fontId="11" fillId="0" borderId="26" xfId="0" applyNumberFormat="1" applyFont="1" applyBorder="1"/>
    <xf numFmtId="6" fontId="11" fillId="0" borderId="21" xfId="0" applyNumberFormat="1" applyFont="1" applyBorder="1"/>
    <xf numFmtId="6" fontId="11" fillId="0" borderId="27" xfId="0" applyNumberFormat="1" applyFont="1" applyBorder="1"/>
    <xf numFmtId="6" fontId="11" fillId="0" borderId="0" xfId="0" applyNumberFormat="1" applyFont="1" applyFill="1" applyBorder="1"/>
    <xf numFmtId="0" fontId="11" fillId="0" borderId="0" xfId="0" applyFont="1"/>
    <xf numFmtId="6" fontId="13" fillId="0" borderId="0" xfId="0" applyNumberFormat="1" applyFont="1"/>
    <xf numFmtId="0" fontId="13" fillId="0" borderId="0" xfId="0" applyFont="1" applyFill="1" applyBorder="1"/>
    <xf numFmtId="0" fontId="22" fillId="0" borderId="0" xfId="0" applyFont="1" applyAlignment="1">
      <alignment horizontal="right"/>
    </xf>
    <xf numFmtId="0" fontId="23" fillId="0" borderId="0" xfId="0" applyFont="1" applyBorder="1" applyAlignment="1"/>
    <xf numFmtId="43" fontId="13" fillId="0" borderId="0" xfId="0" applyNumberFormat="1" applyFont="1"/>
    <xf numFmtId="43" fontId="13" fillId="0" borderId="9" xfId="0" applyNumberFormat="1" applyFont="1" applyBorder="1"/>
    <xf numFmtId="43" fontId="13" fillId="0" borderId="0" xfId="0" applyNumberFormat="1" applyFont="1" applyFill="1" applyBorder="1" applyAlignment="1">
      <alignment wrapText="1"/>
    </xf>
    <xf numFmtId="11" fontId="13" fillId="0" borderId="0" xfId="0" applyNumberFormat="1" applyFont="1" applyFill="1" applyBorder="1" applyAlignment="1">
      <alignment wrapText="1"/>
    </xf>
    <xf numFmtId="40" fontId="16" fillId="0" borderId="21" xfId="19" applyNumberFormat="1" applyFont="1" applyFill="1" applyBorder="1"/>
    <xf numFmtId="0" fontId="19" fillId="0" borderId="19" xfId="0" applyFont="1" applyFill="1" applyBorder="1" applyAlignment="1">
      <alignment horizontal="center"/>
    </xf>
    <xf numFmtId="8" fontId="16" fillId="0" borderId="24" xfId="19" applyNumberFormat="1" applyFont="1" applyFill="1" applyBorder="1"/>
    <xf numFmtId="40" fontId="16" fillId="0" borderId="24" xfId="19" applyNumberFormat="1" applyFont="1" applyFill="1" applyBorder="1"/>
    <xf numFmtId="37" fontId="13" fillId="7" borderId="0" xfId="14" applyNumberFormat="1" applyFont="1" applyFill="1" applyBorder="1" applyAlignment="1">
      <alignment horizontal="right"/>
    </xf>
    <xf numFmtId="37" fontId="13" fillId="7" borderId="8" xfId="14" applyNumberFormat="1" applyFont="1" applyFill="1" applyBorder="1" applyAlignment="1">
      <alignment horizontal="right"/>
    </xf>
    <xf numFmtId="0" fontId="18" fillId="13" borderId="25" xfId="16" applyFont="1" applyFill="1" applyBorder="1"/>
    <xf numFmtId="0" fontId="33" fillId="4" borderId="25" xfId="42" applyFont="1" applyFill="1" applyBorder="1"/>
    <xf numFmtId="165" fontId="34" fillId="7" borderId="25" xfId="19" applyNumberFormat="1" applyFont="1" applyFill="1" applyBorder="1"/>
    <xf numFmtId="3" fontId="35" fillId="7" borderId="25" xfId="0" applyNumberFormat="1" applyFont="1" applyFill="1" applyBorder="1"/>
    <xf numFmtId="165" fontId="35" fillId="7" borderId="25" xfId="19" applyNumberFormat="1" applyFont="1" applyFill="1" applyBorder="1"/>
    <xf numFmtId="0" fontId="35" fillId="7" borderId="25" xfId="0" applyFont="1" applyFill="1" applyBorder="1"/>
    <xf numFmtId="165" fontId="6" fillId="0" borderId="0" xfId="5" applyNumberFormat="1"/>
    <xf numFmtId="0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10" xfId="0" applyBorder="1"/>
    <xf numFmtId="0" fontId="0" fillId="0" borderId="27" xfId="0" applyBorder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9" fillId="0" borderId="0" xfId="20" applyFont="1" applyAlignment="1">
      <alignment horizontal="center"/>
    </xf>
    <xf numFmtId="0" fontId="10" fillId="0" borderId="9" xfId="2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</cellXfs>
  <cellStyles count="43">
    <cellStyle name="Comma" xfId="19" builtinId="3"/>
    <cellStyle name="Comma 2" xfId="1"/>
    <cellStyle name="Comma 2 2" xfId="21"/>
    <cellStyle name="Comma 2 2 2" xfId="36"/>
    <cellStyle name="Comma 2 3" xfId="22"/>
    <cellStyle name="Comma 3" xfId="2"/>
    <cellStyle name="Comma 3 2" xfId="23"/>
    <cellStyle name="Comma 4" xfId="15"/>
    <cellStyle name="Comma 5" xfId="27"/>
    <cellStyle name="Currency 2" xfId="3"/>
    <cellStyle name="Currency 3" xfId="31"/>
    <cellStyle name="Currency 3 2" xfId="41"/>
    <cellStyle name="Normal" xfId="0" builtinId="0"/>
    <cellStyle name="Normal 10" xfId="18"/>
    <cellStyle name="Normal 10 2" xfId="34"/>
    <cellStyle name="Normal 11" xfId="4"/>
    <cellStyle name="Normal 12" xfId="25"/>
    <cellStyle name="Normal 13" xfId="26"/>
    <cellStyle name="Normal 13 2" xfId="37"/>
    <cellStyle name="Normal 14" xfId="30"/>
    <cellStyle name="Normal 14 2" xfId="40"/>
    <cellStyle name="Normal 2" xfId="5"/>
    <cellStyle name="Normal 2 2" xfId="6"/>
    <cellStyle name="Normal 2 3" xfId="20"/>
    <cellStyle name="Normal 2 3 2" xfId="35"/>
    <cellStyle name="Normal 2 4" xfId="32"/>
    <cellStyle name="Normal 23" xfId="42"/>
    <cellStyle name="Normal 3" xfId="7"/>
    <cellStyle name="Normal 3 2" xfId="29"/>
    <cellStyle name="Normal 3 2 2" xfId="39"/>
    <cellStyle name="Normal 3 3" xfId="33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Normal_2008 OAA award with additional tabs" xfId="14"/>
    <cellStyle name="Normal_Sheet1" xfId="24"/>
    <cellStyle name="Normal_Sheet2" xfId="16"/>
    <cellStyle name="Percent" xfId="28" builtinId="5"/>
    <cellStyle name="Percent 2" xfId="17"/>
    <cellStyle name="Percent 3" xfId="38"/>
  </cellStyles>
  <dxfs count="2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33" formatCode="_(* #,##0_);_(* \(#,##0\);_(* &quot;-&quot;_);_(@_)"/>
    </dxf>
    <dxf>
      <numFmt numFmtId="33" formatCode="_(* #,##0_);_(* \(#,##0\);_(* &quot;-&quot;_);_(@_)"/>
    </dxf>
    <dxf>
      <font>
        <sz val="11"/>
      </font>
    </dxf>
    <dxf>
      <font>
        <name val="Calibri"/>
        <scheme val="minor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font>
        <sz val="11"/>
      </font>
    </dxf>
    <dxf>
      <font>
        <name val="Calibri"/>
        <scheme val="minor"/>
      </font>
    </dxf>
    <dxf>
      <numFmt numFmtId="33" formatCode="_(* #,##0_);_(* \(#,##0\);_(* &quot;-&quot;_);_(@_)"/>
    </dxf>
    <dxf>
      <font>
        <sz val="10"/>
      </font>
    </dxf>
    <dxf>
      <font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AA%20III%20D%20Allocation%202014-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IEF\AOB%20SFY%2003-04\OAA2003SvcsAdmAllocaMar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Title III-D Allocation"/>
      <sheetName val="2015 Title III-D Allocation"/>
      <sheetName val="Pivot"/>
      <sheetName val="FPL &amp; MU"/>
      <sheetName val="MUPs &amp; MUAs"/>
      <sheetName val="PY Allocation"/>
    </sheetNames>
    <sheetDataSet>
      <sheetData sheetId="0"/>
      <sheetData sheetId="1"/>
      <sheetData sheetId="2">
        <row r="4">
          <cell r="A4" t="str">
            <v>Row Labels</v>
          </cell>
          <cell r="B4" t="str">
            <v>Sum of People Age 65 &amp; Over Living in Medically Underserved Areas &amp; Populations</v>
          </cell>
          <cell r="C4" t="str">
            <v>Sum of Population 60+ Below Federal Poverty Level (FPL)2</v>
          </cell>
        </row>
        <row r="5">
          <cell r="A5">
            <v>1</v>
          </cell>
          <cell r="B5">
            <v>28765.346999999998</v>
          </cell>
          <cell r="C5">
            <v>12739</v>
          </cell>
        </row>
        <row r="6">
          <cell r="A6">
            <v>2</v>
          </cell>
          <cell r="B6">
            <v>53977.248</v>
          </cell>
          <cell r="C6">
            <v>15147</v>
          </cell>
        </row>
        <row r="7">
          <cell r="A7">
            <v>3</v>
          </cell>
          <cell r="B7">
            <v>152811.62299999999</v>
          </cell>
          <cell r="C7">
            <v>47208</v>
          </cell>
        </row>
        <row r="8">
          <cell r="A8">
            <v>4</v>
          </cell>
          <cell r="B8">
            <v>75928.252999999997</v>
          </cell>
          <cell r="C8">
            <v>41763</v>
          </cell>
        </row>
        <row r="9">
          <cell r="A9">
            <v>5</v>
          </cell>
          <cell r="B9">
            <v>50810.756000000001</v>
          </cell>
          <cell r="C9">
            <v>39713</v>
          </cell>
        </row>
        <row r="10">
          <cell r="A10">
            <v>6</v>
          </cell>
          <cell r="B10">
            <v>108223.723</v>
          </cell>
          <cell r="C10">
            <v>56355</v>
          </cell>
        </row>
        <row r="11">
          <cell r="A11">
            <v>7</v>
          </cell>
          <cell r="B11">
            <v>90276.466</v>
          </cell>
          <cell r="C11">
            <v>44528</v>
          </cell>
        </row>
        <row r="12">
          <cell r="A12">
            <v>8</v>
          </cell>
          <cell r="B12">
            <v>93081.126999999993</v>
          </cell>
          <cell r="C12">
            <v>44293</v>
          </cell>
        </row>
        <row r="13">
          <cell r="A13">
            <v>9</v>
          </cell>
          <cell r="B13">
            <v>58561.115380229756</v>
          </cell>
          <cell r="C13">
            <v>51268</v>
          </cell>
        </row>
        <row r="14">
          <cell r="A14">
            <v>10</v>
          </cell>
          <cell r="B14">
            <v>40636.978999999999</v>
          </cell>
          <cell r="C14">
            <v>48593</v>
          </cell>
        </row>
        <row r="15">
          <cell r="A15">
            <v>11</v>
          </cell>
          <cell r="B15">
            <v>125081.28499999997</v>
          </cell>
          <cell r="C15">
            <v>109087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AA "/>
      <sheetName val="Admin"/>
    </sheetNames>
    <sheetDataSet>
      <sheetData sheetId="0">
        <row r="17">
          <cell r="W17">
            <v>6304430</v>
          </cell>
        </row>
        <row r="19">
          <cell r="W19">
            <v>5605980</v>
          </cell>
        </row>
        <row r="21">
          <cell r="W21">
            <v>5183248</v>
          </cell>
        </row>
        <row r="23">
          <cell r="W23">
            <v>7215591</v>
          </cell>
        </row>
        <row r="25">
          <cell r="W25">
            <v>5322971</v>
          </cell>
        </row>
        <row r="27">
          <cell r="W27">
            <v>5465452</v>
          </cell>
        </row>
        <row r="29">
          <cell r="W29">
            <v>6566221</v>
          </cell>
        </row>
        <row r="31">
          <cell r="W31">
            <v>5424604</v>
          </cell>
        </row>
        <row r="33">
          <cell r="W33">
            <v>12526014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n Manalo" refreshedDate="41355.43539259259" createdVersion="3" refreshedVersion="3" minRefreshableVersion="3" recordCount="67">
  <cacheSource type="worksheet">
    <worksheetSource ref="A1:F68" sheet="2003 Demographics"/>
  </cacheSource>
  <cacheFields count="6">
    <cacheField name="PSA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County" numFmtId="0">
      <sharedItems/>
    </cacheField>
    <cacheField name="60+" numFmtId="3">
      <sharedItems containsSemiMixedTypes="0" containsString="0" containsNumber="1" containsInteger="1" minValue="1047" maxValue="413568"/>
    </cacheField>
    <cacheField name="Low Income 60+" numFmtId="3">
      <sharedItems containsSemiMixedTypes="0" containsString="0" containsNumber="1" containsInteger="1" minValue="221" maxValue="86645"/>
    </cacheField>
    <cacheField name="Minority 60+ 125% PL" numFmtId="3">
      <sharedItems containsSemiMixedTypes="0" containsString="0" containsNumber="1" containsInteger="1" minValue="27" maxValue="94007"/>
    </cacheField>
    <cacheField name="Mobility &amp; Self Care Limitations 60+" numFmtId="3">
      <sharedItems containsSemiMixedTypes="0" containsString="0" containsNumber="1" containsInteger="1" minValue="68" maxValue="305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n Manalo" refreshedDate="42041.619806365743" createdVersion="3" refreshedVersion="5" minRefreshableVersion="3" recordCount="67">
  <cacheSource type="worksheet">
    <worksheetSource ref="A3:F70" sheet="Demographics"/>
  </cacheSource>
  <cacheFields count="6">
    <cacheField name="PSA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County" numFmtId="0">
      <sharedItems/>
    </cacheField>
    <cacheField name="Population 60+" numFmtId="165">
      <sharedItems containsSemiMixedTypes="0" containsString="0" containsNumber="1" containsInteger="1" minValue="1400" maxValue="523849"/>
    </cacheField>
    <cacheField name="Population 60+ Below Federal Poverty Level (FPL)" numFmtId="0">
      <sharedItems containsSemiMixedTypes="0" containsString="0" containsNumber="1" containsInteger="1" minValue="225" maxValue="106829"/>
    </cacheField>
    <cacheField name="Minority Population 60+ Below 125% FPL" numFmtId="165">
      <sharedItems containsSemiMixedTypes="0" containsString="0" containsNumber="1" minValue="9.8000000000000007" maxValue="136081.98425217348"/>
    </cacheField>
    <cacheField name="Population 60+ With 2 or More Disabilities" numFmtId="165">
      <sharedItems containsSemiMixedTypes="0" containsString="0" containsNumber="1" containsInteger="1" minValue="307" maxValue="1024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0"/>
    <s v="Escambia"/>
    <n v="52967"/>
    <n v="8828"/>
    <n v="3886"/>
    <n v="3682"/>
  </r>
  <r>
    <x v="0"/>
    <s v="Okaloosa"/>
    <n v="29409"/>
    <n v="3052"/>
    <n v="667"/>
    <n v="1324"/>
  </r>
  <r>
    <x v="0"/>
    <s v="Santa Rosa"/>
    <n v="21047"/>
    <n v="3213"/>
    <n v="541"/>
    <n v="1602"/>
  </r>
  <r>
    <x v="0"/>
    <s v="Walton"/>
    <n v="10576"/>
    <n v="2032"/>
    <n v="345"/>
    <n v="632"/>
  </r>
  <r>
    <x v="1"/>
    <s v="Bay"/>
    <n v="28383"/>
    <n v="4792"/>
    <n v="1013"/>
    <n v="1995"/>
  </r>
  <r>
    <x v="1"/>
    <s v="Calhoun"/>
    <n v="2542"/>
    <n v="682"/>
    <n v="116"/>
    <n v="127"/>
  </r>
  <r>
    <x v="1"/>
    <s v="Franklin"/>
    <n v="2655"/>
    <n v="754"/>
    <n v="105"/>
    <n v="165"/>
  </r>
  <r>
    <x v="1"/>
    <s v="Gadsden"/>
    <n v="7571"/>
    <n v="2070"/>
    <n v="1844"/>
    <n v="733"/>
  </r>
  <r>
    <x v="1"/>
    <s v="Gulf"/>
    <n v="3074"/>
    <n v="671"/>
    <n v="149"/>
    <n v="231"/>
  </r>
  <r>
    <x v="1"/>
    <s v="Holmes"/>
    <n v="3926"/>
    <n v="1028"/>
    <n v="27"/>
    <n v="430"/>
  </r>
  <r>
    <x v="1"/>
    <s v="Jackson"/>
    <n v="9151"/>
    <n v="2797"/>
    <n v="1202"/>
    <n v="931"/>
  </r>
  <r>
    <x v="1"/>
    <s v="Jefferson"/>
    <n v="2502"/>
    <n v="628"/>
    <n v="322"/>
    <n v="240"/>
  </r>
  <r>
    <x v="1"/>
    <s v="Leon"/>
    <n v="28365"/>
    <n v="4051"/>
    <n v="2257"/>
    <n v="1604"/>
  </r>
  <r>
    <x v="1"/>
    <s v="Liberty"/>
    <n v="1047"/>
    <n v="221"/>
    <n v="36"/>
    <n v="172"/>
  </r>
  <r>
    <x v="1"/>
    <s v="Madison"/>
    <n v="3651"/>
    <n v="1215"/>
    <n v="623"/>
    <n v="313"/>
  </r>
  <r>
    <x v="1"/>
    <s v="Taylor"/>
    <n v="3838"/>
    <n v="976"/>
    <n v="240"/>
    <n v="220"/>
  </r>
  <r>
    <x v="1"/>
    <s v="Wakulla"/>
    <n v="3917"/>
    <n v="646"/>
    <n v="120"/>
    <n v="302"/>
  </r>
  <r>
    <x v="1"/>
    <s v="Washington"/>
    <n v="4719"/>
    <n v="1114"/>
    <n v="169"/>
    <n v="428"/>
  </r>
  <r>
    <x v="2"/>
    <s v="Alachua"/>
    <n v="29318"/>
    <n v="4864"/>
    <n v="2490"/>
    <n v="2046"/>
  </r>
  <r>
    <x v="2"/>
    <s v="Bradford"/>
    <n v="4783"/>
    <n v="951"/>
    <n v="157"/>
    <n v="369"/>
  </r>
  <r>
    <x v="2"/>
    <s v="Citrus"/>
    <n v="50443"/>
    <n v="5648"/>
    <n v="604"/>
    <n v="2230"/>
  </r>
  <r>
    <x v="2"/>
    <s v="Columbia"/>
    <n v="11237"/>
    <n v="2394"/>
    <n v="766"/>
    <n v="882"/>
  </r>
  <r>
    <x v="2"/>
    <s v="Dixie"/>
    <n v="3618"/>
    <n v="1135"/>
    <n v="60"/>
    <n v="314"/>
  </r>
  <r>
    <x v="2"/>
    <s v="Gilchrist"/>
    <n v="2875"/>
    <n v="632"/>
    <n v="81"/>
    <n v="202"/>
  </r>
  <r>
    <x v="2"/>
    <s v="Hamilton"/>
    <n v="2155"/>
    <n v="715"/>
    <n v="335"/>
    <n v="168"/>
  </r>
  <r>
    <x v="2"/>
    <s v="Hernando"/>
    <n v="51010"/>
    <n v="4656"/>
    <n v="829"/>
    <n v="2197"/>
  </r>
  <r>
    <x v="2"/>
    <s v="Lafayette"/>
    <n v="1222"/>
    <n v="376"/>
    <n v="36"/>
    <n v="68"/>
  </r>
  <r>
    <x v="2"/>
    <s v="Lake"/>
    <n v="78263"/>
    <n v="9102"/>
    <n v="1623"/>
    <n v="3327"/>
  </r>
  <r>
    <x v="2"/>
    <s v="Levy"/>
    <n v="9457"/>
    <n v="2021"/>
    <n v="346"/>
    <n v="778"/>
  </r>
  <r>
    <x v="2"/>
    <s v="Marion"/>
    <n v="85493"/>
    <n v="11994"/>
    <n v="2757"/>
    <n v="4333"/>
  </r>
  <r>
    <x v="2"/>
    <s v="Putnam"/>
    <n v="17642"/>
    <n v="3135"/>
    <n v="1092"/>
    <n v="1195"/>
  </r>
  <r>
    <x v="2"/>
    <s v="Sumter"/>
    <n v="22785"/>
    <n v="3911"/>
    <n v="664"/>
    <n v="1164"/>
  </r>
  <r>
    <x v="2"/>
    <s v="Suwannee"/>
    <n v="8706"/>
    <n v="1978"/>
    <n v="398"/>
    <n v="755"/>
  </r>
  <r>
    <x v="2"/>
    <s v="Union"/>
    <n v="1558"/>
    <n v="332"/>
    <n v="70"/>
    <n v="115"/>
  </r>
  <r>
    <x v="3"/>
    <s v="Baker"/>
    <n v="3196"/>
    <n v="784"/>
    <n v="105"/>
    <n v="195"/>
  </r>
  <r>
    <x v="3"/>
    <s v="Clay"/>
    <n v="21819"/>
    <n v="2072"/>
    <n v="468"/>
    <n v="1339"/>
  </r>
  <r>
    <x v="3"/>
    <s v="Duval"/>
    <n v="115145"/>
    <n v="19184"/>
    <n v="10373"/>
    <n v="7950"/>
  </r>
  <r>
    <x v="3"/>
    <s v="Flagler"/>
    <n v="21633"/>
    <n v="1558"/>
    <n v="583"/>
    <n v="617"/>
  </r>
  <r>
    <x v="3"/>
    <s v="Nassau"/>
    <n v="11297"/>
    <n v="2388"/>
    <n v="485"/>
    <n v="728"/>
  </r>
  <r>
    <x v="3"/>
    <s v="St. Johns"/>
    <n v="29298"/>
    <n v="3285"/>
    <n v="753"/>
    <n v="1367"/>
  </r>
  <r>
    <x v="3"/>
    <s v="Volusia"/>
    <n v="127395"/>
    <n v="14326"/>
    <n v="2846"/>
    <n v="6520"/>
  </r>
  <r>
    <x v="4"/>
    <s v="Pasco"/>
    <n v="119964"/>
    <n v="12933"/>
    <n v="844"/>
    <n v="5609"/>
  </r>
  <r>
    <x v="4"/>
    <s v="Pinellas"/>
    <n v="258477"/>
    <n v="25891"/>
    <n v="5159"/>
    <n v="12046"/>
  </r>
  <r>
    <x v="5"/>
    <s v="Hardee"/>
    <n v="5052"/>
    <n v="1134"/>
    <n v="333"/>
    <n v="453"/>
  </r>
  <r>
    <x v="5"/>
    <s v="Highlands"/>
    <n v="36498"/>
    <n v="4544"/>
    <n v="849"/>
    <n v="1874"/>
  </r>
  <r>
    <x v="5"/>
    <s v="Hillsborough"/>
    <n v="171069"/>
    <n v="26230"/>
    <n v="14850"/>
    <n v="10283"/>
  </r>
  <r>
    <x v="5"/>
    <s v="Manatee"/>
    <n v="85494"/>
    <n v="7865"/>
    <n v="1417"/>
    <n v="3374"/>
  </r>
  <r>
    <x v="5"/>
    <s v="Polk"/>
    <n v="123091"/>
    <n v="16461"/>
    <n v="4435"/>
    <n v="6693"/>
  </r>
  <r>
    <x v="6"/>
    <s v="Brevard"/>
    <n v="125181"/>
    <n v="12003"/>
    <n v="2625"/>
    <n v="5548"/>
  </r>
  <r>
    <x v="6"/>
    <s v="Orange"/>
    <n v="131232"/>
    <n v="16553"/>
    <n v="8167"/>
    <n v="7417"/>
  </r>
  <r>
    <x v="6"/>
    <s v="Osceola"/>
    <n v="30484"/>
    <n v="3524"/>
    <n v="939"/>
    <n v="1442"/>
  </r>
  <r>
    <x v="6"/>
    <s v="Seminole"/>
    <n v="57476"/>
    <n v="6161"/>
    <n v="2499"/>
    <n v="3132"/>
  </r>
  <r>
    <x v="7"/>
    <s v="Charlotte"/>
    <n v="62302"/>
    <n v="4644"/>
    <n v="581"/>
    <n v="2464"/>
  </r>
  <r>
    <x v="7"/>
    <s v="Collier"/>
    <n v="89448"/>
    <n v="6299"/>
    <n v="1456"/>
    <n v="2942"/>
  </r>
  <r>
    <x v="7"/>
    <s v="DeSoto"/>
    <n v="8270"/>
    <n v="1104"/>
    <n v="208"/>
    <n v="554"/>
  </r>
  <r>
    <x v="7"/>
    <s v="Glades"/>
    <n v="2819"/>
    <n v="332"/>
    <n v="81"/>
    <n v="90"/>
  </r>
  <r>
    <x v="7"/>
    <s v="Hendry"/>
    <n v="5182"/>
    <n v="1028"/>
    <n v="456"/>
    <n v="313"/>
  </r>
  <r>
    <x v="7"/>
    <s v="Lee"/>
    <n v="149586"/>
    <n v="12313"/>
    <n v="2159"/>
    <n v="5785"/>
  </r>
  <r>
    <x v="7"/>
    <s v="Sarasota"/>
    <n v="131896"/>
    <n v="9830"/>
    <n v="1324"/>
    <n v="5525"/>
  </r>
  <r>
    <x v="8"/>
    <s v="Indian River"/>
    <n v="41658"/>
    <n v="3765"/>
    <n v="594"/>
    <n v="1559"/>
  </r>
  <r>
    <x v="8"/>
    <s v="Martin"/>
    <n v="45272"/>
    <n v="4011"/>
    <n v="485"/>
    <n v="1781"/>
  </r>
  <r>
    <x v="8"/>
    <s v="Okeechobee"/>
    <n v="8224"/>
    <n v="1645"/>
    <n v="180"/>
    <n v="582"/>
  </r>
  <r>
    <x v="8"/>
    <s v="Palm Beach"/>
    <n v="328378"/>
    <n v="30361"/>
    <n v="9195"/>
    <n v="14217"/>
  </r>
  <r>
    <x v="8"/>
    <s v="St. Lucie"/>
    <n v="57594"/>
    <n v="5981"/>
    <n v="2149"/>
    <n v="2594"/>
  </r>
  <r>
    <x v="9"/>
    <s v="Broward"/>
    <n v="338417"/>
    <n v="40324"/>
    <n v="13428"/>
    <n v="19131"/>
  </r>
  <r>
    <x v="10"/>
    <s v="Miami-Dade"/>
    <n v="413568"/>
    <n v="86645"/>
    <n v="94007"/>
    <n v="30549"/>
  </r>
  <r>
    <x v="10"/>
    <s v="Monroe"/>
    <n v="16591"/>
    <n v="2075"/>
    <n v="844"/>
    <n v="74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7">
  <r>
    <x v="0"/>
    <s v="Escambia"/>
    <n v="65875"/>
    <n v="6527"/>
    <n v="4072.8114786767637"/>
    <n v="13284"/>
  </r>
  <r>
    <x v="0"/>
    <s v="Okaloosa"/>
    <n v="39245"/>
    <n v="2512"/>
    <n v="728.18230088495579"/>
    <n v="6492"/>
  </r>
  <r>
    <x v="0"/>
    <s v="Santa Rosa"/>
    <n v="31494"/>
    <n v="2313"/>
    <n v="360.57007125890738"/>
    <n v="5488"/>
  </r>
  <r>
    <x v="0"/>
    <s v="Walton"/>
    <n v="14098"/>
    <n v="1387"/>
    <n v="220.4457831325301"/>
    <n v="2490"/>
  </r>
  <r>
    <x v="1"/>
    <s v="Bay"/>
    <n v="37137"/>
    <n v="3307"/>
    <n v="958.0434540389972"/>
    <n v="6967"/>
  </r>
  <r>
    <x v="1"/>
    <s v="Calhoun"/>
    <n v="3267"/>
    <n v="513"/>
    <n v="188"/>
    <n v="769"/>
  </r>
  <r>
    <x v="1"/>
    <s v="Franklin"/>
    <n v="3034"/>
    <n v="473"/>
    <n v="34.243902439024389"/>
    <n v="863"/>
  </r>
  <r>
    <x v="1"/>
    <s v="Gadsden"/>
    <n v="10242"/>
    <n v="1601"/>
    <n v="1550.9740259740261"/>
    <n v="2005"/>
  </r>
  <r>
    <x v="1"/>
    <s v="Gulf"/>
    <n v="3940"/>
    <n v="449"/>
    <n v="113.78400000000001"/>
    <n v="822"/>
  </r>
  <r>
    <x v="1"/>
    <s v="Holmes"/>
    <n v="4979"/>
    <n v="741"/>
    <n v="93.145454545454541"/>
    <n v="1432"/>
  </r>
  <r>
    <x v="1"/>
    <s v="Jackson"/>
    <n v="11720"/>
    <n v="1587"/>
    <n v="953.96790123456799"/>
    <n v="2865"/>
  </r>
  <r>
    <x v="1"/>
    <s v="Jefferson"/>
    <n v="3918"/>
    <n v="370"/>
    <n v="215.35565610859729"/>
    <n v="740"/>
  </r>
  <r>
    <x v="1"/>
    <s v="Leon"/>
    <n v="45710"/>
    <n v="3498"/>
    <n v="2670.9721106890938"/>
    <n v="7022"/>
  </r>
  <r>
    <x v="1"/>
    <s v="Liberty"/>
    <n v="1400"/>
    <n v="225"/>
    <n v="92.215384615384608"/>
    <n v="307"/>
  </r>
  <r>
    <x v="1"/>
    <s v="Madison"/>
    <n v="4684"/>
    <n v="639"/>
    <n v="439.30441767068277"/>
    <n v="1247"/>
  </r>
  <r>
    <x v="1"/>
    <s v="Taylor"/>
    <n v="5530"/>
    <n v="641"/>
    <n v="292.79136690647482"/>
    <n v="1419"/>
  </r>
  <r>
    <x v="1"/>
    <s v="Wakulla"/>
    <n v="5644"/>
    <n v="498"/>
    <n v="144.52602739726026"/>
    <n v="1243"/>
  </r>
  <r>
    <x v="1"/>
    <s v="Washington"/>
    <n v="5553"/>
    <n v="605"/>
    <n v="154.75"/>
    <n v="1494"/>
  </r>
  <r>
    <x v="2"/>
    <s v="Alachua"/>
    <n v="44899"/>
    <n v="4673"/>
    <n v="2378.9293768545995"/>
    <n v="7529"/>
  </r>
  <r>
    <x v="2"/>
    <s v="Bradford"/>
    <n v="6216"/>
    <n v="1004"/>
    <n v="371.7736526946108"/>
    <n v="1636"/>
  </r>
  <r>
    <x v="2"/>
    <s v="Citrus"/>
    <n v="58637"/>
    <n v="5473"/>
    <n v="519.45053272450525"/>
    <n v="8588"/>
  </r>
  <r>
    <x v="2"/>
    <s v="Columbia"/>
    <n v="15718"/>
    <n v="1540"/>
    <n v="544.57731958762884"/>
    <n v="4014"/>
  </r>
  <r>
    <x v="2"/>
    <s v="Dixie"/>
    <n v="4694"/>
    <n v="517"/>
    <n v="77.430508474576271"/>
    <n v="1057"/>
  </r>
  <r>
    <x v="2"/>
    <s v="Gilchrist"/>
    <n v="4345"/>
    <n v="684"/>
    <n v="74.435294117647061"/>
    <n v="1004"/>
  </r>
  <r>
    <x v="2"/>
    <s v="Hamilton"/>
    <n v="3188"/>
    <n v="412"/>
    <n v="535.23076923076917"/>
    <n v="876"/>
  </r>
  <r>
    <x v="2"/>
    <s v="Hernando"/>
    <n v="58864"/>
    <n v="4524"/>
    <n v="1006.4682539682539"/>
    <n v="10380"/>
  </r>
  <r>
    <x v="2"/>
    <s v="Lafayette"/>
    <n v="1610"/>
    <n v="257"/>
    <n v="9.8000000000000007"/>
    <n v="485"/>
  </r>
  <r>
    <x v="2"/>
    <s v="Lake"/>
    <n v="96826"/>
    <n v="7269"/>
    <n v="2266.2518703241894"/>
    <n v="13287"/>
  </r>
  <r>
    <x v="2"/>
    <s v="Levy"/>
    <n v="11564"/>
    <n v="1514"/>
    <n v="405.94205607476641"/>
    <n v="2372"/>
  </r>
  <r>
    <x v="2"/>
    <s v="Marion"/>
    <n v="115200"/>
    <n v="10730"/>
    <n v="3924.7405405405402"/>
    <n v="18077"/>
  </r>
  <r>
    <x v="2"/>
    <s v="Putnam"/>
    <n v="19739"/>
    <n v="2789"/>
    <n v="926.01284046692604"/>
    <n v="3425"/>
  </r>
  <r>
    <x v="2"/>
    <s v="Sumter"/>
    <n v="62420"/>
    <n v="3747"/>
    <n v="738.96183206106878"/>
    <n v="5691"/>
  </r>
  <r>
    <x v="2"/>
    <s v="Suwannee"/>
    <n v="11369"/>
    <n v="1703"/>
    <n v="446.4"/>
    <n v="2737"/>
  </r>
  <r>
    <x v="2"/>
    <s v="Union"/>
    <n v="2832"/>
    <n v="372"/>
    <n v="328.95652173913044"/>
    <n v="750"/>
  </r>
  <r>
    <x v="3"/>
    <s v="Baker"/>
    <n v="4764"/>
    <n v="519"/>
    <n v="83.6875"/>
    <n v="1019"/>
  </r>
  <r>
    <x v="3"/>
    <s v="Clay"/>
    <n v="37216"/>
    <n v="2537"/>
    <n v="610.92088998763904"/>
    <n v="6272"/>
  </r>
  <r>
    <x v="3"/>
    <s v="Duval"/>
    <n v="160558"/>
    <n v="16501"/>
    <n v="11158.914724776419"/>
    <n v="29263"/>
  </r>
  <r>
    <x v="3"/>
    <s v="Flagler"/>
    <n v="33236"/>
    <n v="3059"/>
    <n v="958.65546218487395"/>
    <n v="3765"/>
  </r>
  <r>
    <x v="3"/>
    <s v="Nassau"/>
    <n v="19632"/>
    <n v="1697"/>
    <n v="318.05405405405406"/>
    <n v="3253"/>
  </r>
  <r>
    <x v="3"/>
    <s v="St. Johns"/>
    <n v="49561"/>
    <n v="3846"/>
    <n v="1064.9958041958041"/>
    <n v="6396"/>
  </r>
  <r>
    <x v="3"/>
    <s v="Volusia"/>
    <n v="148239"/>
    <n v="13604"/>
    <n v="4696.5663824604144"/>
    <n v="23818"/>
  </r>
  <r>
    <x v="4"/>
    <s v="Pasco"/>
    <n v="133153"/>
    <n v="12584"/>
    <n v="2277.6754582029503"/>
    <n v="20493"/>
  </r>
  <r>
    <x v="4"/>
    <s v="Pinellas"/>
    <n v="280012"/>
    <n v="27129"/>
    <n v="7676.1002260738505"/>
    <n v="46037"/>
  </r>
  <r>
    <x v="5"/>
    <s v="Hardee"/>
    <n v="5011"/>
    <n v="986"/>
    <n v="533.63101604278074"/>
    <n v="1185"/>
  </r>
  <r>
    <x v="5"/>
    <s v="Highlands"/>
    <n v="39830"/>
    <n v="4678"/>
    <n v="1668.749354005168"/>
    <n v="5890"/>
  </r>
  <r>
    <x v="5"/>
    <s v="Hillsborough"/>
    <n v="232762"/>
    <n v="26411"/>
    <n v="18833.753686727781"/>
    <n v="41896"/>
  </r>
  <r>
    <x v="5"/>
    <s v="Manatee"/>
    <n v="105775"/>
    <n v="8533"/>
    <n v="1939.8333333333333"/>
    <n v="13604"/>
  </r>
  <r>
    <x v="5"/>
    <s v="Polk"/>
    <n v="156657"/>
    <n v="15747"/>
    <n v="7413.6641188032327"/>
    <n v="26030"/>
  </r>
  <r>
    <x v="6"/>
    <s v="Brevard"/>
    <n v="156650"/>
    <n v="12571"/>
    <n v="3944.8231789872734"/>
    <n v="25062"/>
  </r>
  <r>
    <x v="6"/>
    <s v="Orange"/>
    <n v="185855"/>
    <n v="20009"/>
    <n v="19269.372648412158"/>
    <n v="31353"/>
  </r>
  <r>
    <x v="6"/>
    <s v="Osceola"/>
    <n v="50112"/>
    <n v="5459"/>
    <n v="5829.8261089987318"/>
    <n v="9137"/>
  </r>
  <r>
    <x v="6"/>
    <s v="Seminole"/>
    <n v="83809"/>
    <n v="6489"/>
    <n v="3775.9801623083858"/>
    <n v="12984"/>
  </r>
  <r>
    <x v="7"/>
    <s v="Charlotte"/>
    <n v="72272"/>
    <n v="5285"/>
    <n v="1196.8387776606953"/>
    <n v="9191"/>
  </r>
  <r>
    <x v="7"/>
    <s v="Collier"/>
    <n v="114750"/>
    <n v="8637"/>
    <n v="3504.3139915769771"/>
    <n v="12119"/>
  </r>
  <r>
    <x v="7"/>
    <s v="DeSoto"/>
    <n v="8331"/>
    <n v="1294"/>
    <n v="522.80597014925377"/>
    <n v="1509"/>
  </r>
  <r>
    <x v="7"/>
    <s v="Glades"/>
    <n v="3764"/>
    <n v="460"/>
    <n v="122.0060606060606"/>
    <n v="662"/>
  </r>
  <r>
    <x v="7"/>
    <s v="Hendry"/>
    <n v="6437"/>
    <n v="1025"/>
    <n v="1049.5260663507108"/>
    <n v="1508"/>
  </r>
  <r>
    <x v="7"/>
    <s v="Lee"/>
    <n v="204966"/>
    <n v="15971"/>
    <n v="5520.1893714594007"/>
    <n v="25507"/>
  </r>
  <r>
    <x v="7"/>
    <s v="Sarasota"/>
    <n v="156738"/>
    <n v="11621"/>
    <n v="1981.0364683301343"/>
    <n v="19749"/>
  </r>
  <r>
    <x v="8"/>
    <s v="Indian River"/>
    <n v="50066"/>
    <n v="3942"/>
    <n v="970.24010914051837"/>
    <n v="6543"/>
  </r>
  <r>
    <x v="8"/>
    <s v="Martin"/>
    <n v="53611"/>
    <n v="3690"/>
    <n v="730.16326530612241"/>
    <n v="6923"/>
  </r>
  <r>
    <x v="8"/>
    <s v="Okeechobee"/>
    <n v="9222"/>
    <n v="1359"/>
    <n v="493.28961748633878"/>
    <n v="2167"/>
  </r>
  <r>
    <x v="8"/>
    <s v="Palm Beach"/>
    <n v="386179"/>
    <n v="34595"/>
    <n v="18069.466961852861"/>
    <n v="53920"/>
  </r>
  <r>
    <x v="8"/>
    <s v="St. Lucie"/>
    <n v="76307"/>
    <n v="7682"/>
    <n v="3946.4482512491081"/>
    <n v="12199"/>
  </r>
  <r>
    <x v="9"/>
    <s v="Broward"/>
    <n v="383293"/>
    <n v="48593"/>
    <n v="34880.869767049291"/>
    <n v="67067"/>
  </r>
  <r>
    <x v="10"/>
    <s v="Miami-Dade"/>
    <n v="523849"/>
    <n v="106829"/>
    <n v="136081.98425217348"/>
    <n v="102465"/>
  </r>
  <r>
    <x v="10"/>
    <s v="Monroe"/>
    <n v="21076"/>
    <n v="2258"/>
    <n v="685.8"/>
    <n v="26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 rowHeaderCaption="PSA">
  <location ref="A3:E16" firstHeaderRow="1" firstDataRow="2" firstDataCol="1"/>
  <pivotFields count="6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numFmtId="165" showAll="0" defaultSubtotal="0"/>
    <pivotField dataField="1" numFmtId="165" showAll="0" defaultSubtotal="0"/>
    <pivotField dataField="1" numFmtId="165" showAll="0" defaultSubtotal="0"/>
    <pivotField dataField="1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opulation 60+" fld="2" baseField="0" baseItem="0"/>
    <dataField name="Sum of Population 60+ Below Federal Poverty Level (FPL)" fld="3" baseField="0" baseItem="0"/>
    <dataField name="Sum of Minority Population 60+ Below 125% FPL" fld="4" baseField="0" baseItem="0"/>
    <dataField name="Sum of Population 60+ With 2 or More Disabilities" fld="5" baseField="0" baseItem="0"/>
  </dataFields>
  <formats count="10">
    <format dxfId="19">
      <pivotArea type="all" dataOnly="0" outline="0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type="all" dataOnly="0" outline="0" fieldPosition="0"/>
    </format>
    <format dxfId="13">
      <pivotArea field="0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rowHeaderCaption="PSA">
  <location ref="A3:E16" firstHeaderRow="1" firstDataRow="2" firstDataCol="1"/>
  <pivotFields count="6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60+" fld="2" baseField="0" baseItem="0" numFmtId="41"/>
    <dataField name="Sum of Low Income 60+" fld="3" baseField="0" baseItem="0" numFmtId="41"/>
    <dataField name="Sum of Minority 60+ 125% PL" fld="4" baseField="0" baseItem="0" numFmtId="41"/>
    <dataField name="Sum of Mobility &amp; Self Care Limitations 60+" fld="5" baseField="0" baseItem="0" numFmtId="41"/>
  </dataFields>
  <formats count="10">
    <format dxfId="9">
      <pivotArea type="all" dataOnly="0" outline="0" fieldPosition="0"/>
    </format>
    <format dxfId="8">
      <pivotArea type="all" dataOnly="0" outline="0" fieldPosition="0"/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6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type="origin" dataOnly="0" labelOnly="1" outline="0" fieldPosition="0"/>
    </format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90" zoomScaleNormal="90" workbookViewId="0">
      <selection activeCell="F17" sqref="F17"/>
    </sheetView>
  </sheetViews>
  <sheetFormatPr defaultRowHeight="15.75"/>
  <cols>
    <col min="1" max="1" width="1.44140625" style="75" customWidth="1"/>
    <col min="2" max="2" width="4.5546875" style="75" customWidth="1"/>
    <col min="3" max="11" width="13.6640625" style="75" customWidth="1"/>
  </cols>
  <sheetData>
    <row r="1" spans="1:11" ht="18.75">
      <c r="A1" s="123" t="str">
        <f>+'2015 Award #2'!A2</f>
        <v>Grant Award: 2015 Older Americans Act Allocation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>
      <c r="A3" s="125" t="s">
        <v>252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6.5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>
      <c r="A6" s="70"/>
      <c r="B6" s="70"/>
      <c r="C6" s="81"/>
      <c r="D6" s="81"/>
      <c r="E6" s="81"/>
      <c r="F6" s="81"/>
      <c r="G6" s="81"/>
      <c r="H6" s="81"/>
      <c r="I6" s="81"/>
      <c r="J6" s="81"/>
      <c r="K6" s="81"/>
    </row>
    <row r="7" spans="1:11">
      <c r="A7" s="55"/>
      <c r="B7" s="55"/>
      <c r="C7" s="82">
        <v>2015</v>
      </c>
      <c r="D7" s="82">
        <v>2015</v>
      </c>
      <c r="E7" s="82">
        <v>2015</v>
      </c>
      <c r="F7" s="82">
        <v>2015</v>
      </c>
      <c r="G7" s="82">
        <v>2015</v>
      </c>
      <c r="H7" s="82">
        <v>2015</v>
      </c>
      <c r="I7" s="82">
        <v>2015</v>
      </c>
      <c r="J7" s="82">
        <v>2015</v>
      </c>
      <c r="K7" s="82">
        <v>2015</v>
      </c>
    </row>
    <row r="8" spans="1:11">
      <c r="A8" s="52"/>
      <c r="B8" s="52"/>
      <c r="C8" s="82" t="s">
        <v>188</v>
      </c>
      <c r="D8" s="82" t="s">
        <v>189</v>
      </c>
      <c r="E8" s="82" t="s">
        <v>190</v>
      </c>
      <c r="F8" s="82" t="s">
        <v>262</v>
      </c>
      <c r="G8" s="82" t="s">
        <v>191</v>
      </c>
      <c r="H8" s="82" t="s">
        <v>3</v>
      </c>
      <c r="I8" s="82" t="s">
        <v>4</v>
      </c>
      <c r="J8" s="82" t="s">
        <v>1</v>
      </c>
      <c r="K8" s="82" t="s">
        <v>3</v>
      </c>
    </row>
    <row r="9" spans="1:11">
      <c r="A9" s="52"/>
      <c r="B9" s="53" t="s">
        <v>5</v>
      </c>
      <c r="C9" s="82" t="s">
        <v>6</v>
      </c>
      <c r="D9" s="82" t="s">
        <v>8</v>
      </c>
      <c r="E9" s="82" t="s">
        <v>9</v>
      </c>
      <c r="F9" s="82" t="s">
        <v>263</v>
      </c>
      <c r="G9" s="82" t="s">
        <v>15</v>
      </c>
      <c r="H9" s="82" t="s">
        <v>10</v>
      </c>
      <c r="I9" s="82" t="s">
        <v>10</v>
      </c>
      <c r="J9" s="82" t="s">
        <v>3</v>
      </c>
      <c r="K9" s="82" t="s">
        <v>1</v>
      </c>
    </row>
    <row r="10" spans="1:11">
      <c r="A10" s="52"/>
      <c r="B10" s="52"/>
      <c r="C10" s="82" t="s">
        <v>12</v>
      </c>
      <c r="D10" s="82" t="s">
        <v>13</v>
      </c>
      <c r="E10" s="82" t="s">
        <v>13</v>
      </c>
      <c r="F10" s="82" t="s">
        <v>264</v>
      </c>
      <c r="G10" s="82" t="s">
        <v>14</v>
      </c>
      <c r="H10" s="82" t="s">
        <v>16</v>
      </c>
      <c r="I10" s="82" t="s">
        <v>120</v>
      </c>
      <c r="J10" s="82" t="s">
        <v>265</v>
      </c>
      <c r="K10" s="82" t="s">
        <v>11</v>
      </c>
    </row>
    <row r="11" spans="1:11" ht="16.5" thickBot="1">
      <c r="A11" s="52"/>
      <c r="B11" s="52"/>
      <c r="C11" s="82"/>
      <c r="D11" s="82"/>
      <c r="E11" s="82"/>
      <c r="F11" s="82"/>
      <c r="G11" s="82"/>
      <c r="H11" s="370"/>
      <c r="I11" s="370"/>
      <c r="J11" s="370"/>
      <c r="K11" s="370"/>
    </row>
    <row r="12" spans="1:11">
      <c r="A12" s="62"/>
      <c r="B12" s="101">
        <v>1</v>
      </c>
      <c r="C12" s="277">
        <f>+'2015 Svcs &amp; Admin Allocation'!H12</f>
        <v>708150</v>
      </c>
      <c r="D12" s="277">
        <f>+'2015 Svcs &amp; Admin Allocation'!L12</f>
        <v>840165</v>
      </c>
      <c r="E12" s="277">
        <f>+'2015 Svcs &amp; Admin Allocation'!P12</f>
        <v>427729</v>
      </c>
      <c r="F12" s="277">
        <f>+'2015 Title III-D Allocation'!G8</f>
        <v>84225</v>
      </c>
      <c r="G12" s="277">
        <f>+'2015 Svcs &amp; Admin Allocation'!T12</f>
        <v>274179</v>
      </c>
      <c r="H12" s="371">
        <f>+'2015 Svcs &amp; Admin Allocation'!U12</f>
        <v>342016</v>
      </c>
      <c r="I12" s="371">
        <f>+'2015 Svcs &amp; Admin Allocation'!V12</f>
        <v>14871</v>
      </c>
      <c r="J12" s="371">
        <f t="shared" ref="J12:J22" si="0">SUM(C12:G12)</f>
        <v>2334448</v>
      </c>
      <c r="K12" s="371">
        <f>SUM(C12:I12)</f>
        <v>2691335</v>
      </c>
    </row>
    <row r="13" spans="1:11">
      <c r="A13" s="63"/>
      <c r="B13" s="102">
        <v>2</v>
      </c>
      <c r="C13" s="369">
        <f>+'2015 Svcs &amp; Admin Allocation'!H13</f>
        <v>816753</v>
      </c>
      <c r="D13" s="369">
        <f>+'2015 Svcs &amp; Admin Allocation'!L13</f>
        <v>961606</v>
      </c>
      <c r="E13" s="369">
        <f>+'2015 Svcs &amp; Admin Allocation'!P13</f>
        <v>490213</v>
      </c>
      <c r="F13" s="369">
        <f>+'2015 Title III-D Allocation'!G9</f>
        <v>73605</v>
      </c>
      <c r="G13" s="369">
        <f>+'2015 Svcs &amp; Admin Allocation'!T13</f>
        <v>316227</v>
      </c>
      <c r="H13" s="372">
        <f>+'2015 Svcs &amp; Admin Allocation'!U13</f>
        <v>454851</v>
      </c>
      <c r="I13" s="372">
        <f>+'2015 Svcs &amp; Admin Allocation'!V13</f>
        <v>19778</v>
      </c>
      <c r="J13" s="372">
        <f t="shared" si="0"/>
        <v>2658404</v>
      </c>
      <c r="K13" s="372">
        <f>SUM(C13:I13)</f>
        <v>3133033</v>
      </c>
    </row>
    <row r="14" spans="1:11">
      <c r="A14" s="63"/>
      <c r="B14" s="102">
        <v>3</v>
      </c>
      <c r="C14" s="369">
        <f>+'2015 Svcs &amp; Admin Allocation'!H14</f>
        <v>2153956</v>
      </c>
      <c r="D14" s="369">
        <f>+'2015 Svcs &amp; Admin Allocation'!L14</f>
        <v>2600758</v>
      </c>
      <c r="E14" s="369">
        <f>+'2015 Svcs &amp; Admin Allocation'!P14</f>
        <v>1320021</v>
      </c>
      <c r="F14" s="369">
        <f>+'2015 Title III-D Allocation'!G10</f>
        <v>231976</v>
      </c>
      <c r="G14" s="369">
        <f>+'2015 Svcs &amp; Admin Allocation'!T14</f>
        <v>833961</v>
      </c>
      <c r="H14" s="372">
        <f>+'2015 Svcs &amp; Admin Allocation'!U14</f>
        <v>884598</v>
      </c>
      <c r="I14" s="372">
        <f>+'2015 Svcs &amp; Admin Allocation'!V14</f>
        <v>38465</v>
      </c>
      <c r="J14" s="372">
        <f t="shared" si="0"/>
        <v>7140672</v>
      </c>
      <c r="K14" s="372">
        <f t="shared" ref="K14:K22" si="1">SUM(C14:I14)</f>
        <v>8063735</v>
      </c>
    </row>
    <row r="15" spans="1:11">
      <c r="A15" s="63"/>
      <c r="B15" s="102">
        <v>4</v>
      </c>
      <c r="C15" s="369">
        <f>+'2015 Svcs &amp; Admin Allocation'!H15</f>
        <v>1915325</v>
      </c>
      <c r="D15" s="369">
        <f>+'2015 Svcs &amp; Admin Allocation'!L15</f>
        <v>2323823</v>
      </c>
      <c r="E15" s="369">
        <f>+'2015 Svcs &amp; Admin Allocation'!P15</f>
        <v>1178484</v>
      </c>
      <c r="F15" s="369">
        <f>+'2015 Title III-D Allocation'!G11</f>
        <v>113647</v>
      </c>
      <c r="G15" s="369">
        <f>+'2015 Svcs &amp; Admin Allocation'!T15</f>
        <v>741569</v>
      </c>
      <c r="H15" s="372">
        <f>+'2015 Svcs &amp; Admin Allocation'!U15</f>
        <v>718689</v>
      </c>
      <c r="I15" s="372">
        <f>+'2015 Svcs &amp; Admin Allocation'!V15</f>
        <v>31251</v>
      </c>
      <c r="J15" s="372">
        <f t="shared" si="0"/>
        <v>6272848</v>
      </c>
      <c r="K15" s="372">
        <f t="shared" si="1"/>
        <v>7022788</v>
      </c>
    </row>
    <row r="16" spans="1:11">
      <c r="A16" s="63"/>
      <c r="B16" s="102">
        <v>5</v>
      </c>
      <c r="C16" s="369">
        <f>+'2015 Svcs &amp; Admin Allocation'!H16</f>
        <v>1770896</v>
      </c>
      <c r="D16" s="369">
        <f>+'2015 Svcs &amp; Admin Allocation'!L16</f>
        <v>2131107</v>
      </c>
      <c r="E16" s="369">
        <f>+'2015 Svcs &amp; Admin Allocation'!P16</f>
        <v>1082272</v>
      </c>
      <c r="F16" s="369">
        <f>+'2015 Title III-D Allocation'!G12</f>
        <v>130163</v>
      </c>
      <c r="G16" s="369">
        <f>+'2015 Svcs &amp; Admin Allocation'!T16</f>
        <v>685649</v>
      </c>
      <c r="H16" s="372">
        <f>+'2015 Svcs &amp; Admin Allocation'!U16</f>
        <v>639741</v>
      </c>
      <c r="I16" s="372">
        <f>+'2015 Svcs &amp; Admin Allocation'!V16</f>
        <v>27818</v>
      </c>
      <c r="J16" s="372">
        <f t="shared" si="0"/>
        <v>5800087</v>
      </c>
      <c r="K16" s="372">
        <f t="shared" si="1"/>
        <v>6467646</v>
      </c>
    </row>
    <row r="17" spans="1:11">
      <c r="A17" s="63"/>
      <c r="B17" s="102">
        <v>6</v>
      </c>
      <c r="C17" s="369">
        <f>+'2015 Svcs &amp; Admin Allocation'!H17</f>
        <v>2465261</v>
      </c>
      <c r="D17" s="369">
        <f>+'2015 Svcs &amp; Admin Allocation'!L17</f>
        <v>2991708</v>
      </c>
      <c r="E17" s="369">
        <f>+'2015 Svcs &amp; Admin Allocation'!P17</f>
        <v>1517131</v>
      </c>
      <c r="F17" s="369">
        <f>+'2015 Title III-D Allocation'!G13</f>
        <v>123604</v>
      </c>
      <c r="G17" s="369">
        <f>+'2015 Svcs &amp; Admin Allocation'!T17</f>
        <v>954491</v>
      </c>
      <c r="H17" s="372">
        <f>+'2015 Svcs &amp; Admin Allocation'!U17</f>
        <v>851999</v>
      </c>
      <c r="I17" s="372">
        <f>+'2015 Svcs &amp; Admin Allocation'!V17</f>
        <v>37047</v>
      </c>
      <c r="J17" s="372">
        <f t="shared" si="0"/>
        <v>8052195</v>
      </c>
      <c r="K17" s="372">
        <f t="shared" si="1"/>
        <v>8941241</v>
      </c>
    </row>
    <row r="18" spans="1:11">
      <c r="A18" s="63"/>
      <c r="B18" s="102">
        <v>7</v>
      </c>
      <c r="C18" s="369">
        <f>+'2015 Svcs &amp; Admin Allocation'!H18</f>
        <v>1818633</v>
      </c>
      <c r="D18" s="369">
        <f>+'2015 Svcs &amp; Admin Allocation'!L18</f>
        <v>2283807</v>
      </c>
      <c r="E18" s="369">
        <f>+'2015 Svcs &amp; Admin Allocation'!P18</f>
        <v>1151466</v>
      </c>
      <c r="F18" s="369">
        <f>+'2015 Title III-D Allocation'!G14</f>
        <v>172751</v>
      </c>
      <c r="G18" s="369">
        <f>+'2015 Svcs &amp; Admin Allocation'!T18</f>
        <v>704131</v>
      </c>
      <c r="H18" s="372">
        <f>+'2015 Svcs &amp; Admin Allocation'!U18</f>
        <v>668117</v>
      </c>
      <c r="I18" s="372">
        <f>+'2015 Svcs &amp; Admin Allocation'!V18</f>
        <v>29052</v>
      </c>
      <c r="J18" s="372">
        <f t="shared" si="0"/>
        <v>6130788</v>
      </c>
      <c r="K18" s="372">
        <f t="shared" si="1"/>
        <v>6827957</v>
      </c>
    </row>
    <row r="19" spans="1:11">
      <c r="A19" s="63"/>
      <c r="B19" s="102">
        <v>8</v>
      </c>
      <c r="C19" s="369">
        <f>+'2015 Svcs &amp; Admin Allocation'!H19</f>
        <v>1867313</v>
      </c>
      <c r="D19" s="369">
        <f>+'2015 Svcs &amp; Admin Allocation'!L19</f>
        <v>2312876</v>
      </c>
      <c r="E19" s="369">
        <f>+'2015 Svcs &amp; Admin Allocation'!P19</f>
        <v>1168817</v>
      </c>
      <c r="F19" s="369">
        <f>+'2015 Title III-D Allocation'!G15</f>
        <v>79537</v>
      </c>
      <c r="G19" s="369">
        <f>+'2015 Svcs &amp; Admin Allocation'!T19</f>
        <v>722979</v>
      </c>
      <c r="H19" s="372">
        <f>+'2015 Svcs &amp; Admin Allocation'!U19</f>
        <v>744152</v>
      </c>
      <c r="I19" s="372">
        <f>+'2015 Svcs &amp; Admin Allocation'!V19</f>
        <v>32358</v>
      </c>
      <c r="J19" s="372">
        <f t="shared" si="0"/>
        <v>6151522</v>
      </c>
      <c r="K19" s="372">
        <f t="shared" si="1"/>
        <v>6928032</v>
      </c>
    </row>
    <row r="20" spans="1:11">
      <c r="A20" s="63"/>
      <c r="B20" s="102">
        <v>9</v>
      </c>
      <c r="C20" s="369">
        <f>+'2015 Svcs &amp; Admin Allocation'!H20</f>
        <v>2243400</v>
      </c>
      <c r="D20" s="369">
        <f>+'2015 Svcs &amp; Admin Allocation'!L20</f>
        <v>2746972</v>
      </c>
      <c r="E20" s="369">
        <f>+'2015 Svcs &amp; Admin Allocation'!P20</f>
        <v>1390891</v>
      </c>
      <c r="F20" s="369">
        <f>+'2015 Title III-D Allocation'!G16</f>
        <v>92534</v>
      </c>
      <c r="G20" s="369">
        <f>+'2015 Svcs &amp; Admin Allocation'!T20</f>
        <v>868591</v>
      </c>
      <c r="H20" s="372">
        <f>+'2015 Svcs &amp; Admin Allocation'!U20</f>
        <v>806494</v>
      </c>
      <c r="I20" s="372">
        <f>+'2015 Svcs &amp; Admin Allocation'!V20</f>
        <v>35069</v>
      </c>
      <c r="J20" s="372">
        <f t="shared" si="0"/>
        <v>7342388</v>
      </c>
      <c r="K20" s="372">
        <f t="shared" si="1"/>
        <v>8183951</v>
      </c>
    </row>
    <row r="21" spans="1:11">
      <c r="A21" s="63"/>
      <c r="B21" s="102">
        <v>10</v>
      </c>
      <c r="C21" s="369">
        <f>+'2015 Svcs &amp; Admin Allocation'!H21</f>
        <v>1853358</v>
      </c>
      <c r="D21" s="369">
        <f>+'2015 Svcs &amp; Admin Allocation'!L21</f>
        <v>2290811</v>
      </c>
      <c r="E21" s="369">
        <f>+'2015 Svcs &amp; Admin Allocation'!P21</f>
        <v>1158072</v>
      </c>
      <c r="F21" s="369">
        <f>+'2015 Title III-D Allocation'!G17</f>
        <v>107141</v>
      </c>
      <c r="G21" s="369">
        <f>+'2015 Svcs &amp; Admin Allocation'!T21</f>
        <v>717575</v>
      </c>
      <c r="H21" s="372">
        <f>+'2015 Svcs &amp; Admin Allocation'!U21</f>
        <v>639294</v>
      </c>
      <c r="I21" s="372">
        <f>+'2015 Svcs &amp; Admin Allocation'!V21</f>
        <v>27798</v>
      </c>
      <c r="J21" s="372">
        <f t="shared" si="0"/>
        <v>6126957</v>
      </c>
      <c r="K21" s="372">
        <f t="shared" si="1"/>
        <v>6794049</v>
      </c>
    </row>
    <row r="22" spans="1:11">
      <c r="A22" s="63"/>
      <c r="B22" s="102">
        <v>11</v>
      </c>
      <c r="C22" s="369">
        <f>+'2015 Svcs &amp; Admin Allocation'!H22</f>
        <v>4279607</v>
      </c>
      <c r="D22" s="369">
        <f>+'2015 Svcs &amp; Admin Allocation'!L22</f>
        <v>5232522</v>
      </c>
      <c r="E22" s="369">
        <f>+'2015 Svcs &amp; Admin Allocation'!P22</f>
        <v>2650080</v>
      </c>
      <c r="F22" s="369">
        <f>+'2015 Title III-D Allocation'!G18</f>
        <v>216654</v>
      </c>
      <c r="G22" s="369">
        <f>+'2015 Svcs &amp; Admin Allocation'!T22</f>
        <v>1656961</v>
      </c>
      <c r="H22" s="372">
        <f>+'2015 Svcs &amp; Admin Allocation'!U22</f>
        <v>1230175</v>
      </c>
      <c r="I22" s="372">
        <f>+'2015 Svcs &amp; Admin Allocation'!V22</f>
        <v>53491</v>
      </c>
      <c r="J22" s="372">
        <f t="shared" si="0"/>
        <v>14035824</v>
      </c>
      <c r="K22" s="372">
        <f t="shared" si="1"/>
        <v>15319490</v>
      </c>
    </row>
    <row r="23" spans="1:11" ht="16.5" thickBot="1">
      <c r="A23" s="64"/>
      <c r="B23" s="64" t="s">
        <v>1</v>
      </c>
      <c r="C23" s="286">
        <f t="shared" ref="C23:K23" si="2">SUM(C12:C22)</f>
        <v>21892652</v>
      </c>
      <c r="D23" s="286">
        <f t="shared" si="2"/>
        <v>26716155</v>
      </c>
      <c r="E23" s="286">
        <f t="shared" si="2"/>
        <v>13535176</v>
      </c>
      <c r="F23" s="286">
        <f t="shared" si="2"/>
        <v>1425837</v>
      </c>
      <c r="G23" s="286">
        <f t="shared" si="2"/>
        <v>8476313</v>
      </c>
      <c r="H23" s="286">
        <f t="shared" si="2"/>
        <v>7980126</v>
      </c>
      <c r="I23" s="286">
        <f t="shared" si="2"/>
        <v>346998</v>
      </c>
      <c r="J23" s="286">
        <f>SUM(J12:J22)</f>
        <v>72046133</v>
      </c>
      <c r="K23" s="286">
        <f t="shared" si="2"/>
        <v>80373257</v>
      </c>
    </row>
    <row r="24" spans="1:11">
      <c r="C24" s="194"/>
      <c r="H24" s="194"/>
      <c r="I24" s="194"/>
      <c r="J24" s="194"/>
      <c r="K24" s="194"/>
    </row>
  </sheetData>
  <pageMargins left="0.45" right="0.45" top="0.75" bottom="0.75" header="0.3" footer="0.3"/>
  <pageSetup paperSize="5" scale="50" fitToHeight="0" orientation="landscape" r:id="rId1"/>
  <headerFooter>
    <oddFooter>&amp;C&amp;11Page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/>
  </sheetPr>
  <dimension ref="A1:F68"/>
  <sheetViews>
    <sheetView workbookViewId="0">
      <selection activeCell="A4" sqref="A4"/>
    </sheetView>
  </sheetViews>
  <sheetFormatPr defaultRowHeight="15"/>
  <sheetData>
    <row r="1" spans="1:6" ht="51">
      <c r="A1" s="178" t="s">
        <v>5</v>
      </c>
      <c r="B1" s="179" t="s">
        <v>46</v>
      </c>
      <c r="C1" s="179" t="s">
        <v>47</v>
      </c>
      <c r="D1" s="178" t="s">
        <v>194</v>
      </c>
      <c r="E1" s="178" t="s">
        <v>195</v>
      </c>
      <c r="F1" s="178" t="s">
        <v>196</v>
      </c>
    </row>
    <row r="2" spans="1:6">
      <c r="A2" s="180">
        <v>1</v>
      </c>
      <c r="B2" s="181" t="s">
        <v>48</v>
      </c>
      <c r="C2" s="182">
        <v>52967</v>
      </c>
      <c r="D2" s="182">
        <v>8828</v>
      </c>
      <c r="E2" s="182">
        <v>3886</v>
      </c>
      <c r="F2" s="182">
        <v>3682</v>
      </c>
    </row>
    <row r="3" spans="1:6">
      <c r="A3" s="180">
        <v>1</v>
      </c>
      <c r="B3" s="181" t="s">
        <v>49</v>
      </c>
      <c r="C3" s="182">
        <v>29409</v>
      </c>
      <c r="D3" s="182">
        <v>3052</v>
      </c>
      <c r="E3" s="182">
        <v>667</v>
      </c>
      <c r="F3" s="182">
        <v>1324</v>
      </c>
    </row>
    <row r="4" spans="1:6">
      <c r="A4" s="180">
        <v>1</v>
      </c>
      <c r="B4" s="181" t="s">
        <v>50</v>
      </c>
      <c r="C4" s="182">
        <v>21047</v>
      </c>
      <c r="D4" s="182">
        <v>3213</v>
      </c>
      <c r="E4" s="182">
        <v>541</v>
      </c>
      <c r="F4" s="182">
        <v>1602</v>
      </c>
    </row>
    <row r="5" spans="1:6" ht="15.75" thickBot="1">
      <c r="A5" s="180">
        <v>1</v>
      </c>
      <c r="B5" s="181" t="s">
        <v>51</v>
      </c>
      <c r="C5" s="182">
        <v>10576</v>
      </c>
      <c r="D5" s="182">
        <v>2032</v>
      </c>
      <c r="E5" s="182">
        <v>345</v>
      </c>
      <c r="F5" s="182">
        <v>632</v>
      </c>
    </row>
    <row r="6" spans="1:6" ht="15.75" thickBot="1">
      <c r="A6" s="183">
        <v>2</v>
      </c>
      <c r="B6" s="184" t="s">
        <v>52</v>
      </c>
      <c r="C6" s="185">
        <v>28383</v>
      </c>
      <c r="D6" s="185">
        <v>4792</v>
      </c>
      <c r="E6" s="185">
        <v>1013</v>
      </c>
      <c r="F6" s="186">
        <v>1995</v>
      </c>
    </row>
    <row r="7" spans="1:6">
      <c r="A7" s="180">
        <v>2</v>
      </c>
      <c r="B7" s="181" t="s">
        <v>53</v>
      </c>
      <c r="C7" s="182">
        <v>2542</v>
      </c>
      <c r="D7" s="182">
        <v>682</v>
      </c>
      <c r="E7" s="182">
        <v>116</v>
      </c>
      <c r="F7" s="182">
        <v>127</v>
      </c>
    </row>
    <row r="8" spans="1:6">
      <c r="A8" s="180">
        <v>2</v>
      </c>
      <c r="B8" s="181" t="s">
        <v>54</v>
      </c>
      <c r="C8" s="182">
        <v>2655</v>
      </c>
      <c r="D8" s="182">
        <v>754</v>
      </c>
      <c r="E8" s="182">
        <v>105</v>
      </c>
      <c r="F8" s="182">
        <v>165</v>
      </c>
    </row>
    <row r="9" spans="1:6">
      <c r="A9" s="180">
        <v>2</v>
      </c>
      <c r="B9" s="181" t="s">
        <v>55</v>
      </c>
      <c r="C9" s="182">
        <v>7571</v>
      </c>
      <c r="D9" s="182">
        <v>2070</v>
      </c>
      <c r="E9" s="182">
        <v>1844</v>
      </c>
      <c r="F9" s="182">
        <v>733</v>
      </c>
    </row>
    <row r="10" spans="1:6">
      <c r="A10" s="180">
        <v>2</v>
      </c>
      <c r="B10" s="181" t="s">
        <v>56</v>
      </c>
      <c r="C10" s="182">
        <v>3074</v>
      </c>
      <c r="D10" s="182">
        <v>671</v>
      </c>
      <c r="E10" s="182">
        <v>149</v>
      </c>
      <c r="F10" s="182">
        <v>231</v>
      </c>
    </row>
    <row r="11" spans="1:6">
      <c r="A11" s="180">
        <v>2</v>
      </c>
      <c r="B11" s="181" t="s">
        <v>57</v>
      </c>
      <c r="C11" s="182">
        <v>3926</v>
      </c>
      <c r="D11" s="182">
        <v>1028</v>
      </c>
      <c r="E11" s="182">
        <v>27</v>
      </c>
      <c r="F11" s="182">
        <v>430</v>
      </c>
    </row>
    <row r="12" spans="1:6">
      <c r="A12" s="180">
        <v>2</v>
      </c>
      <c r="B12" s="181" t="s">
        <v>58</v>
      </c>
      <c r="C12" s="182">
        <v>9151</v>
      </c>
      <c r="D12" s="182">
        <v>2797</v>
      </c>
      <c r="E12" s="182">
        <v>1202</v>
      </c>
      <c r="F12" s="182">
        <v>931</v>
      </c>
    </row>
    <row r="13" spans="1:6">
      <c r="A13" s="180">
        <v>2</v>
      </c>
      <c r="B13" s="181" t="s">
        <v>59</v>
      </c>
      <c r="C13" s="182">
        <v>2502</v>
      </c>
      <c r="D13" s="182">
        <v>628</v>
      </c>
      <c r="E13" s="182">
        <v>322</v>
      </c>
      <c r="F13" s="182">
        <v>240</v>
      </c>
    </row>
    <row r="14" spans="1:6">
      <c r="A14" s="180">
        <v>2</v>
      </c>
      <c r="B14" s="181" t="s">
        <v>60</v>
      </c>
      <c r="C14" s="182">
        <v>28365</v>
      </c>
      <c r="D14" s="182">
        <v>4051</v>
      </c>
      <c r="E14" s="182">
        <v>2257</v>
      </c>
      <c r="F14" s="182">
        <v>1604</v>
      </c>
    </row>
    <row r="15" spans="1:6">
      <c r="A15" s="180">
        <v>2</v>
      </c>
      <c r="B15" s="181" t="s">
        <v>61</v>
      </c>
      <c r="C15" s="182">
        <v>1047</v>
      </c>
      <c r="D15" s="182">
        <v>221</v>
      </c>
      <c r="E15" s="182">
        <v>36</v>
      </c>
      <c r="F15" s="182">
        <v>172</v>
      </c>
    </row>
    <row r="16" spans="1:6">
      <c r="A16" s="180">
        <v>2</v>
      </c>
      <c r="B16" s="181" t="s">
        <v>62</v>
      </c>
      <c r="C16" s="182">
        <v>3651</v>
      </c>
      <c r="D16" s="182">
        <v>1215</v>
      </c>
      <c r="E16" s="182">
        <v>623</v>
      </c>
      <c r="F16" s="182">
        <v>313</v>
      </c>
    </row>
    <row r="17" spans="1:6">
      <c r="A17" s="180">
        <v>2</v>
      </c>
      <c r="B17" s="181" t="s">
        <v>63</v>
      </c>
      <c r="C17" s="182">
        <v>3838</v>
      </c>
      <c r="D17" s="182">
        <v>976</v>
      </c>
      <c r="E17" s="182">
        <v>240</v>
      </c>
      <c r="F17" s="182">
        <v>220</v>
      </c>
    </row>
    <row r="18" spans="1:6">
      <c r="A18" s="180">
        <v>2</v>
      </c>
      <c r="B18" s="181" t="s">
        <v>64</v>
      </c>
      <c r="C18" s="182">
        <v>3917</v>
      </c>
      <c r="D18" s="182">
        <v>646</v>
      </c>
      <c r="E18" s="182">
        <v>120</v>
      </c>
      <c r="F18" s="182">
        <v>302</v>
      </c>
    </row>
    <row r="19" spans="1:6">
      <c r="A19" s="180">
        <v>2</v>
      </c>
      <c r="B19" s="181" t="s">
        <v>65</v>
      </c>
      <c r="C19" s="182">
        <v>4719</v>
      </c>
      <c r="D19" s="182">
        <v>1114</v>
      </c>
      <c r="E19" s="182">
        <v>169</v>
      </c>
      <c r="F19" s="182">
        <v>428</v>
      </c>
    </row>
    <row r="20" spans="1:6" ht="15.75" thickBot="1">
      <c r="A20" s="180">
        <v>3</v>
      </c>
      <c r="B20" s="181" t="s">
        <v>66</v>
      </c>
      <c r="C20" s="182">
        <v>29318</v>
      </c>
      <c r="D20" s="182">
        <v>4864</v>
      </c>
      <c r="E20" s="182">
        <v>2490</v>
      </c>
      <c r="F20" s="182">
        <v>2046</v>
      </c>
    </row>
    <row r="21" spans="1:6" ht="15.75" thickBot="1">
      <c r="A21" s="183">
        <v>3</v>
      </c>
      <c r="B21" s="184" t="s">
        <v>67</v>
      </c>
      <c r="C21" s="185">
        <v>4783</v>
      </c>
      <c r="D21" s="185">
        <v>951</v>
      </c>
      <c r="E21" s="185">
        <v>157</v>
      </c>
      <c r="F21" s="186">
        <v>369</v>
      </c>
    </row>
    <row r="22" spans="1:6">
      <c r="A22" s="180">
        <v>3</v>
      </c>
      <c r="B22" s="181" t="s">
        <v>68</v>
      </c>
      <c r="C22" s="182">
        <v>50443</v>
      </c>
      <c r="D22" s="182">
        <v>5648</v>
      </c>
      <c r="E22" s="182">
        <v>604</v>
      </c>
      <c r="F22" s="182">
        <v>2230</v>
      </c>
    </row>
    <row r="23" spans="1:6">
      <c r="A23" s="180">
        <v>3</v>
      </c>
      <c r="B23" s="181" t="s">
        <v>69</v>
      </c>
      <c r="C23" s="182">
        <v>11237</v>
      </c>
      <c r="D23" s="182">
        <v>2394</v>
      </c>
      <c r="E23" s="182">
        <v>766</v>
      </c>
      <c r="F23" s="182">
        <v>882</v>
      </c>
    </row>
    <row r="24" spans="1:6">
      <c r="A24" s="180">
        <v>3</v>
      </c>
      <c r="B24" s="181" t="s">
        <v>70</v>
      </c>
      <c r="C24" s="182">
        <v>3618</v>
      </c>
      <c r="D24" s="182">
        <v>1135</v>
      </c>
      <c r="E24" s="182">
        <v>60</v>
      </c>
      <c r="F24" s="182">
        <v>314</v>
      </c>
    </row>
    <row r="25" spans="1:6">
      <c r="A25" s="180">
        <v>3</v>
      </c>
      <c r="B25" s="181" t="s">
        <v>71</v>
      </c>
      <c r="C25" s="182">
        <v>2875</v>
      </c>
      <c r="D25" s="182">
        <v>632</v>
      </c>
      <c r="E25" s="182">
        <v>81</v>
      </c>
      <c r="F25" s="182">
        <v>202</v>
      </c>
    </row>
    <row r="26" spans="1:6">
      <c r="A26" s="180">
        <v>3</v>
      </c>
      <c r="B26" s="181" t="s">
        <v>72</v>
      </c>
      <c r="C26" s="182">
        <v>2155</v>
      </c>
      <c r="D26" s="182">
        <v>715</v>
      </c>
      <c r="E26" s="182">
        <v>335</v>
      </c>
      <c r="F26" s="182">
        <v>168</v>
      </c>
    </row>
    <row r="27" spans="1:6">
      <c r="A27" s="180">
        <v>3</v>
      </c>
      <c r="B27" s="181" t="s">
        <v>73</v>
      </c>
      <c r="C27" s="182">
        <v>51010</v>
      </c>
      <c r="D27" s="182">
        <v>4656</v>
      </c>
      <c r="E27" s="182">
        <v>829</v>
      </c>
      <c r="F27" s="182">
        <v>2197</v>
      </c>
    </row>
    <row r="28" spans="1:6">
      <c r="A28" s="180">
        <v>3</v>
      </c>
      <c r="B28" s="181" t="s">
        <v>74</v>
      </c>
      <c r="C28" s="182">
        <v>1222</v>
      </c>
      <c r="D28" s="182">
        <v>376</v>
      </c>
      <c r="E28" s="182">
        <v>36</v>
      </c>
      <c r="F28" s="182">
        <v>68</v>
      </c>
    </row>
    <row r="29" spans="1:6">
      <c r="A29" s="180">
        <v>3</v>
      </c>
      <c r="B29" s="181" t="s">
        <v>75</v>
      </c>
      <c r="C29" s="182">
        <v>78263</v>
      </c>
      <c r="D29" s="182">
        <v>9102</v>
      </c>
      <c r="E29" s="182">
        <v>1623</v>
      </c>
      <c r="F29" s="182">
        <v>3327</v>
      </c>
    </row>
    <row r="30" spans="1:6">
      <c r="A30" s="180">
        <v>3</v>
      </c>
      <c r="B30" s="181" t="s">
        <v>76</v>
      </c>
      <c r="C30" s="182">
        <v>9457</v>
      </c>
      <c r="D30" s="182">
        <v>2021</v>
      </c>
      <c r="E30" s="182">
        <v>346</v>
      </c>
      <c r="F30" s="182">
        <v>778</v>
      </c>
    </row>
    <row r="31" spans="1:6">
      <c r="A31" s="180">
        <v>3</v>
      </c>
      <c r="B31" s="181" t="s">
        <v>77</v>
      </c>
      <c r="C31" s="182">
        <v>85493</v>
      </c>
      <c r="D31" s="182">
        <v>11994</v>
      </c>
      <c r="E31" s="182">
        <v>2757</v>
      </c>
      <c r="F31" s="182">
        <v>4333</v>
      </c>
    </row>
    <row r="32" spans="1:6">
      <c r="A32" s="180">
        <v>3</v>
      </c>
      <c r="B32" s="181" t="s">
        <v>78</v>
      </c>
      <c r="C32" s="182">
        <v>17642</v>
      </c>
      <c r="D32" s="182">
        <v>3135</v>
      </c>
      <c r="E32" s="182">
        <v>1092</v>
      </c>
      <c r="F32" s="182">
        <v>1195</v>
      </c>
    </row>
    <row r="33" spans="1:6">
      <c r="A33" s="180">
        <v>3</v>
      </c>
      <c r="B33" s="181" t="s">
        <v>79</v>
      </c>
      <c r="C33" s="182">
        <v>22785</v>
      </c>
      <c r="D33" s="182">
        <v>3911</v>
      </c>
      <c r="E33" s="182">
        <v>664</v>
      </c>
      <c r="F33" s="182">
        <v>1164</v>
      </c>
    </row>
    <row r="34" spans="1:6">
      <c r="A34" s="180">
        <v>3</v>
      </c>
      <c r="B34" s="181" t="s">
        <v>80</v>
      </c>
      <c r="C34" s="182">
        <v>8706</v>
      </c>
      <c r="D34" s="182">
        <v>1978</v>
      </c>
      <c r="E34" s="182">
        <v>398</v>
      </c>
      <c r="F34" s="182">
        <v>755</v>
      </c>
    </row>
    <row r="35" spans="1:6">
      <c r="A35" s="180">
        <v>3</v>
      </c>
      <c r="B35" s="181" t="s">
        <v>81</v>
      </c>
      <c r="C35" s="182">
        <v>1558</v>
      </c>
      <c r="D35" s="182">
        <v>332</v>
      </c>
      <c r="E35" s="182">
        <v>70</v>
      </c>
      <c r="F35" s="182">
        <v>115</v>
      </c>
    </row>
    <row r="36" spans="1:6">
      <c r="A36" s="180">
        <v>4</v>
      </c>
      <c r="B36" s="181" t="s">
        <v>82</v>
      </c>
      <c r="C36" s="182">
        <v>3196</v>
      </c>
      <c r="D36" s="182">
        <v>784</v>
      </c>
      <c r="E36" s="182">
        <v>105</v>
      </c>
      <c r="F36" s="182">
        <v>195</v>
      </c>
    </row>
    <row r="37" spans="1:6" ht="15.75" thickBot="1">
      <c r="A37" s="180">
        <v>4</v>
      </c>
      <c r="B37" s="181" t="s">
        <v>83</v>
      </c>
      <c r="C37" s="182">
        <v>21819</v>
      </c>
      <c r="D37" s="182">
        <v>2072</v>
      </c>
      <c r="E37" s="182">
        <v>468</v>
      </c>
      <c r="F37" s="182">
        <v>1339</v>
      </c>
    </row>
    <row r="38" spans="1:6" ht="15.75" thickBot="1">
      <c r="A38" s="183">
        <v>4</v>
      </c>
      <c r="B38" s="184" t="s">
        <v>84</v>
      </c>
      <c r="C38" s="185">
        <v>115145</v>
      </c>
      <c r="D38" s="185">
        <v>19184</v>
      </c>
      <c r="E38" s="185">
        <v>10373</v>
      </c>
      <c r="F38" s="186">
        <v>7950</v>
      </c>
    </row>
    <row r="39" spans="1:6">
      <c r="A39" s="180">
        <v>4</v>
      </c>
      <c r="B39" s="181" t="s">
        <v>85</v>
      </c>
      <c r="C39" s="182">
        <v>21633</v>
      </c>
      <c r="D39" s="182">
        <v>1558</v>
      </c>
      <c r="E39" s="182">
        <v>583</v>
      </c>
      <c r="F39" s="182">
        <v>617</v>
      </c>
    </row>
    <row r="40" spans="1:6">
      <c r="A40" s="180">
        <v>4</v>
      </c>
      <c r="B40" s="181" t="s">
        <v>86</v>
      </c>
      <c r="C40" s="182">
        <v>11297</v>
      </c>
      <c r="D40" s="182">
        <v>2388</v>
      </c>
      <c r="E40" s="182">
        <v>485</v>
      </c>
      <c r="F40" s="182">
        <v>728</v>
      </c>
    </row>
    <row r="41" spans="1:6">
      <c r="A41" s="180">
        <v>4</v>
      </c>
      <c r="B41" s="181" t="s">
        <v>87</v>
      </c>
      <c r="C41" s="182">
        <v>29298</v>
      </c>
      <c r="D41" s="182">
        <v>3285</v>
      </c>
      <c r="E41" s="182">
        <v>753</v>
      </c>
      <c r="F41" s="182">
        <v>1367</v>
      </c>
    </row>
    <row r="42" spans="1:6">
      <c r="A42" s="180">
        <v>4</v>
      </c>
      <c r="B42" s="181" t="s">
        <v>88</v>
      </c>
      <c r="C42" s="182">
        <v>127395</v>
      </c>
      <c r="D42" s="182">
        <v>14326</v>
      </c>
      <c r="E42" s="182">
        <v>2846</v>
      </c>
      <c r="F42" s="182">
        <v>6520</v>
      </c>
    </row>
    <row r="43" spans="1:6">
      <c r="A43" s="180">
        <v>5</v>
      </c>
      <c r="B43" s="181" t="s">
        <v>89</v>
      </c>
      <c r="C43" s="182">
        <v>119964</v>
      </c>
      <c r="D43" s="182">
        <v>12933</v>
      </c>
      <c r="E43" s="182">
        <v>844</v>
      </c>
      <c r="F43" s="182">
        <v>5609</v>
      </c>
    </row>
    <row r="44" spans="1:6">
      <c r="A44" s="180">
        <v>5</v>
      </c>
      <c r="B44" s="181" t="s">
        <v>90</v>
      </c>
      <c r="C44" s="182">
        <v>258477</v>
      </c>
      <c r="D44" s="182">
        <v>25891</v>
      </c>
      <c r="E44" s="182">
        <v>5159</v>
      </c>
      <c r="F44" s="182">
        <v>12046</v>
      </c>
    </row>
    <row r="45" spans="1:6" ht="15.75" thickBot="1">
      <c r="A45" s="180">
        <v>6</v>
      </c>
      <c r="B45" s="181" t="s">
        <v>91</v>
      </c>
      <c r="C45" s="182">
        <v>5052</v>
      </c>
      <c r="D45" s="182">
        <v>1134</v>
      </c>
      <c r="E45" s="182">
        <v>333</v>
      </c>
      <c r="F45" s="182">
        <v>453</v>
      </c>
    </row>
    <row r="46" spans="1:6" ht="15.75" thickBot="1">
      <c r="A46" s="183">
        <v>6</v>
      </c>
      <c r="B46" s="184" t="s">
        <v>92</v>
      </c>
      <c r="C46" s="185">
        <v>36498</v>
      </c>
      <c r="D46" s="185">
        <v>4544</v>
      </c>
      <c r="E46" s="185">
        <v>849</v>
      </c>
      <c r="F46" s="186">
        <v>1874</v>
      </c>
    </row>
    <row r="47" spans="1:6">
      <c r="A47" s="180">
        <v>6</v>
      </c>
      <c r="B47" s="181" t="s">
        <v>93</v>
      </c>
      <c r="C47" s="182">
        <v>171069</v>
      </c>
      <c r="D47" s="182">
        <v>26230</v>
      </c>
      <c r="E47" s="182">
        <v>14850</v>
      </c>
      <c r="F47" s="182">
        <v>10283</v>
      </c>
    </row>
    <row r="48" spans="1:6" ht="15.75" thickBot="1">
      <c r="A48" s="180">
        <v>6</v>
      </c>
      <c r="B48" s="181" t="s">
        <v>94</v>
      </c>
      <c r="C48" s="182">
        <v>85494</v>
      </c>
      <c r="D48" s="182">
        <v>7865</v>
      </c>
      <c r="E48" s="182">
        <v>1417</v>
      </c>
      <c r="F48" s="182">
        <v>3374</v>
      </c>
    </row>
    <row r="49" spans="1:6" ht="15.75" thickBot="1">
      <c r="A49" s="183">
        <v>6</v>
      </c>
      <c r="B49" s="184" t="s">
        <v>95</v>
      </c>
      <c r="C49" s="185">
        <v>123091</v>
      </c>
      <c r="D49" s="185">
        <v>16461</v>
      </c>
      <c r="E49" s="185">
        <v>4435</v>
      </c>
      <c r="F49" s="186">
        <v>6693</v>
      </c>
    </row>
    <row r="50" spans="1:6">
      <c r="A50" s="180">
        <v>7</v>
      </c>
      <c r="B50" s="181" t="s">
        <v>96</v>
      </c>
      <c r="C50" s="182">
        <v>125181</v>
      </c>
      <c r="D50" s="182">
        <v>12003</v>
      </c>
      <c r="E50" s="182">
        <v>2625</v>
      </c>
      <c r="F50" s="182">
        <v>5548</v>
      </c>
    </row>
    <row r="51" spans="1:6">
      <c r="A51" s="180">
        <v>7</v>
      </c>
      <c r="B51" s="181" t="s">
        <v>97</v>
      </c>
      <c r="C51" s="182">
        <v>131232</v>
      </c>
      <c r="D51" s="182">
        <v>16553</v>
      </c>
      <c r="E51" s="182">
        <v>8167</v>
      </c>
      <c r="F51" s="182">
        <v>7417</v>
      </c>
    </row>
    <row r="52" spans="1:6">
      <c r="A52" s="180">
        <v>7</v>
      </c>
      <c r="B52" s="181" t="s">
        <v>98</v>
      </c>
      <c r="C52" s="182">
        <v>30484</v>
      </c>
      <c r="D52" s="182">
        <v>3524</v>
      </c>
      <c r="E52" s="182">
        <v>939</v>
      </c>
      <c r="F52" s="182">
        <v>1442</v>
      </c>
    </row>
    <row r="53" spans="1:6">
      <c r="A53" s="180">
        <v>7</v>
      </c>
      <c r="B53" s="181" t="s">
        <v>99</v>
      </c>
      <c r="C53" s="182">
        <v>57476</v>
      </c>
      <c r="D53" s="182">
        <v>6161</v>
      </c>
      <c r="E53" s="182">
        <v>2499</v>
      </c>
      <c r="F53" s="182">
        <v>3132</v>
      </c>
    </row>
    <row r="54" spans="1:6" ht="15.75" thickBot="1">
      <c r="A54" s="180">
        <v>8</v>
      </c>
      <c r="B54" s="181" t="s">
        <v>100</v>
      </c>
      <c r="C54" s="182">
        <v>62302</v>
      </c>
      <c r="D54" s="182">
        <v>4644</v>
      </c>
      <c r="E54" s="182">
        <v>581</v>
      </c>
      <c r="F54" s="182">
        <v>2464</v>
      </c>
    </row>
    <row r="55" spans="1:6" ht="15.75" thickBot="1">
      <c r="A55" s="183">
        <v>8</v>
      </c>
      <c r="B55" s="184" t="s">
        <v>101</v>
      </c>
      <c r="C55" s="185">
        <v>89448</v>
      </c>
      <c r="D55" s="185">
        <v>6299</v>
      </c>
      <c r="E55" s="185">
        <v>1456</v>
      </c>
      <c r="F55" s="185">
        <v>2942</v>
      </c>
    </row>
    <row r="56" spans="1:6">
      <c r="A56" s="180">
        <v>8</v>
      </c>
      <c r="B56" s="181" t="s">
        <v>197</v>
      </c>
      <c r="C56" s="182">
        <v>8270</v>
      </c>
      <c r="D56" s="182">
        <v>1104</v>
      </c>
      <c r="E56" s="182">
        <v>208</v>
      </c>
      <c r="F56" s="182">
        <v>554</v>
      </c>
    </row>
    <row r="57" spans="1:6">
      <c r="A57" s="180">
        <v>8</v>
      </c>
      <c r="B57" s="181" t="s">
        <v>102</v>
      </c>
      <c r="C57" s="182">
        <v>2819</v>
      </c>
      <c r="D57" s="182">
        <v>332</v>
      </c>
      <c r="E57" s="182">
        <v>81</v>
      </c>
      <c r="F57" s="182">
        <v>90</v>
      </c>
    </row>
    <row r="58" spans="1:6">
      <c r="A58" s="180">
        <v>8</v>
      </c>
      <c r="B58" s="181" t="s">
        <v>103</v>
      </c>
      <c r="C58" s="182">
        <v>5182</v>
      </c>
      <c r="D58" s="182">
        <v>1028</v>
      </c>
      <c r="E58" s="182">
        <v>456</v>
      </c>
      <c r="F58" s="182">
        <v>313</v>
      </c>
    </row>
    <row r="59" spans="1:6" ht="15.75" thickBot="1">
      <c r="A59" s="180">
        <v>8</v>
      </c>
      <c r="B59" s="181" t="s">
        <v>104</v>
      </c>
      <c r="C59" s="182">
        <v>149586</v>
      </c>
      <c r="D59" s="182">
        <v>12313</v>
      </c>
      <c r="E59" s="182">
        <v>2159</v>
      </c>
      <c r="F59" s="182">
        <v>5785</v>
      </c>
    </row>
    <row r="60" spans="1:6" ht="15.75" thickBot="1">
      <c r="A60" s="183">
        <v>8</v>
      </c>
      <c r="B60" s="184" t="s">
        <v>105</v>
      </c>
      <c r="C60" s="185">
        <v>131896</v>
      </c>
      <c r="D60" s="185">
        <v>9830</v>
      </c>
      <c r="E60" s="185">
        <v>1324</v>
      </c>
      <c r="F60" s="186">
        <v>5525</v>
      </c>
    </row>
    <row r="61" spans="1:6">
      <c r="A61" s="180">
        <v>9</v>
      </c>
      <c r="B61" s="181" t="s">
        <v>106</v>
      </c>
      <c r="C61" s="182">
        <v>41658</v>
      </c>
      <c r="D61" s="182">
        <v>3765</v>
      </c>
      <c r="E61" s="182">
        <v>594</v>
      </c>
      <c r="F61" s="182">
        <v>1559</v>
      </c>
    </row>
    <row r="62" spans="1:6">
      <c r="A62" s="180">
        <v>9</v>
      </c>
      <c r="B62" s="181" t="s">
        <v>107</v>
      </c>
      <c r="C62" s="182">
        <v>45272</v>
      </c>
      <c r="D62" s="182">
        <v>4011</v>
      </c>
      <c r="E62" s="182">
        <v>485</v>
      </c>
      <c r="F62" s="182">
        <v>1781</v>
      </c>
    </row>
    <row r="63" spans="1:6">
      <c r="A63" s="180">
        <v>9</v>
      </c>
      <c r="B63" s="181" t="s">
        <v>108</v>
      </c>
      <c r="C63" s="182">
        <v>8224</v>
      </c>
      <c r="D63" s="182">
        <v>1645</v>
      </c>
      <c r="E63" s="182">
        <v>180</v>
      </c>
      <c r="F63" s="182">
        <v>582</v>
      </c>
    </row>
    <row r="64" spans="1:6">
      <c r="A64" s="180">
        <v>9</v>
      </c>
      <c r="B64" s="181" t="s">
        <v>109</v>
      </c>
      <c r="C64" s="182">
        <v>328378</v>
      </c>
      <c r="D64" s="182">
        <v>30361</v>
      </c>
      <c r="E64" s="182">
        <v>9195</v>
      </c>
      <c r="F64" s="182">
        <v>14217</v>
      </c>
    </row>
    <row r="65" spans="1:6">
      <c r="A65" s="180">
        <v>9</v>
      </c>
      <c r="B65" s="181" t="s">
        <v>110</v>
      </c>
      <c r="C65" s="182">
        <v>57594</v>
      </c>
      <c r="D65" s="182">
        <v>5981</v>
      </c>
      <c r="E65" s="182">
        <v>2149</v>
      </c>
      <c r="F65" s="182">
        <v>2594</v>
      </c>
    </row>
    <row r="66" spans="1:6">
      <c r="A66" s="180">
        <v>10</v>
      </c>
      <c r="B66" s="181" t="s">
        <v>111</v>
      </c>
      <c r="C66" s="182">
        <v>338417</v>
      </c>
      <c r="D66" s="182">
        <v>40324</v>
      </c>
      <c r="E66" s="182">
        <v>13428</v>
      </c>
      <c r="F66" s="182">
        <v>19131</v>
      </c>
    </row>
    <row r="67" spans="1:6" ht="15.75" thickBot="1">
      <c r="A67" s="180">
        <v>11</v>
      </c>
      <c r="B67" s="181" t="s">
        <v>112</v>
      </c>
      <c r="C67" s="182">
        <v>413568</v>
      </c>
      <c r="D67" s="182">
        <v>86645</v>
      </c>
      <c r="E67" s="182">
        <v>94007</v>
      </c>
      <c r="F67" s="182">
        <v>30549</v>
      </c>
    </row>
    <row r="68" spans="1:6" ht="15.75" thickBot="1">
      <c r="A68" s="183">
        <v>11</v>
      </c>
      <c r="B68" s="184" t="s">
        <v>113</v>
      </c>
      <c r="C68" s="185">
        <v>16591</v>
      </c>
      <c r="D68" s="185">
        <v>2075</v>
      </c>
      <c r="E68" s="185">
        <v>844</v>
      </c>
      <c r="F68" s="186">
        <v>744</v>
      </c>
    </row>
  </sheetData>
  <autoFilter ref="A1:F68">
    <sortState ref="A2:F79">
      <sortCondition ref="A1:A7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8"/>
  <sheetViews>
    <sheetView zoomScaleNormal="100" workbookViewId="0">
      <pane ySplit="8" topLeftCell="A9" activePane="bottomLeft" state="frozen"/>
      <selection activeCell="A29" sqref="A29"/>
      <selection pane="bottomLeft" activeCell="C18" sqref="C18"/>
    </sheetView>
  </sheetViews>
  <sheetFormatPr defaultColWidth="11.5546875" defaultRowHeight="15"/>
  <cols>
    <col min="1" max="1" width="41" style="13" customWidth="1"/>
    <col min="2" max="2" width="15" style="13" customWidth="1"/>
    <col min="3" max="4" width="14.109375" style="13" customWidth="1"/>
    <col min="5" max="5" width="14.6640625" style="13" customWidth="1"/>
    <col min="6" max="6" width="14" style="13" customWidth="1"/>
    <col min="7" max="7" width="16.21875" style="13" customWidth="1"/>
    <col min="8" max="8" width="15.77734375" style="13" customWidth="1"/>
    <col min="9" max="9" width="15" style="13" customWidth="1"/>
    <col min="10" max="10" width="1.88671875" style="13" customWidth="1"/>
    <col min="11" max="16384" width="11.5546875" style="13"/>
  </cols>
  <sheetData>
    <row r="1" spans="1:12" ht="18.75">
      <c r="A1" s="126" t="s">
        <v>192</v>
      </c>
      <c r="B1" s="126"/>
      <c r="C1" s="126"/>
      <c r="D1" s="126"/>
      <c r="E1" s="126"/>
      <c r="F1" s="126"/>
      <c r="G1" s="126"/>
      <c r="H1" s="126"/>
      <c r="I1" s="126"/>
    </row>
    <row r="2" spans="1:12">
      <c r="A2" s="127" t="s">
        <v>266</v>
      </c>
      <c r="B2" s="127"/>
      <c r="C2" s="127"/>
      <c r="D2" s="127"/>
      <c r="E2" s="127"/>
      <c r="F2" s="127"/>
      <c r="G2" s="127"/>
      <c r="H2" s="127"/>
      <c r="I2" s="127"/>
    </row>
    <row r="3" spans="1:12">
      <c r="A3" s="127" t="s">
        <v>267</v>
      </c>
      <c r="B3" s="127"/>
      <c r="C3" s="127"/>
      <c r="D3" s="127"/>
      <c r="E3" s="127"/>
      <c r="F3" s="127"/>
      <c r="G3" s="177"/>
      <c r="H3" s="127"/>
      <c r="I3" s="127"/>
    </row>
    <row r="4" spans="1:12">
      <c r="D4" s="15"/>
      <c r="E4" s="16"/>
      <c r="I4" s="17"/>
    </row>
    <row r="5" spans="1:12" ht="15.75" thickBot="1"/>
    <row r="6" spans="1:12" ht="21.75" customHeight="1">
      <c r="A6" s="18"/>
      <c r="B6" s="155" t="s">
        <v>45</v>
      </c>
      <c r="C6" s="156" t="s">
        <v>44</v>
      </c>
      <c r="D6" s="156" t="s">
        <v>185</v>
      </c>
      <c r="E6" s="156" t="s">
        <v>186</v>
      </c>
      <c r="F6" s="156" t="s">
        <v>187</v>
      </c>
      <c r="G6" s="156" t="s">
        <v>43</v>
      </c>
      <c r="H6" s="156" t="s">
        <v>42</v>
      </c>
      <c r="I6" s="157" t="s">
        <v>42</v>
      </c>
    </row>
    <row r="7" spans="1:12">
      <c r="A7" s="154" t="s">
        <v>117</v>
      </c>
      <c r="B7" s="158" t="s">
        <v>41</v>
      </c>
      <c r="C7" s="159" t="s">
        <v>40</v>
      </c>
      <c r="D7" s="159" t="s">
        <v>39</v>
      </c>
      <c r="E7" s="159" t="s">
        <v>138</v>
      </c>
      <c r="F7" s="159" t="s">
        <v>21</v>
      </c>
      <c r="G7" s="159" t="s">
        <v>139</v>
      </c>
      <c r="H7" s="159" t="s">
        <v>38</v>
      </c>
      <c r="I7" s="160" t="s">
        <v>37</v>
      </c>
    </row>
    <row r="8" spans="1:12" s="165" customFormat="1" ht="21.75" customHeight="1">
      <c r="A8" s="161"/>
      <c r="B8" s="162" t="s">
        <v>36</v>
      </c>
      <c r="C8" s="163" t="s">
        <v>35</v>
      </c>
      <c r="D8" s="163" t="s">
        <v>34</v>
      </c>
      <c r="E8" s="163" t="s">
        <v>34</v>
      </c>
      <c r="F8" s="163" t="s">
        <v>22</v>
      </c>
      <c r="G8" s="163" t="s">
        <v>33</v>
      </c>
      <c r="H8" s="163" t="s">
        <v>32</v>
      </c>
      <c r="I8" s="164" t="s">
        <v>31</v>
      </c>
      <c r="K8" s="314" t="s">
        <v>257</v>
      </c>
      <c r="L8" s="314" t="s">
        <v>258</v>
      </c>
    </row>
    <row r="9" spans="1:12">
      <c r="A9" s="19"/>
      <c r="B9" s="144"/>
      <c r="C9" s="20"/>
      <c r="D9" s="20"/>
      <c r="E9" s="20"/>
      <c r="F9" s="20"/>
      <c r="G9" s="20"/>
      <c r="H9" s="20"/>
      <c r="I9" s="39"/>
    </row>
    <row r="10" spans="1:12">
      <c r="A10" s="166" t="s">
        <v>278</v>
      </c>
      <c r="B10" s="167">
        <f>SUM(C10:I10)</f>
        <v>86195091</v>
      </c>
      <c r="C10" s="168">
        <v>24898663</v>
      </c>
      <c r="D10" s="168">
        <v>30882211</v>
      </c>
      <c r="E10" s="168">
        <v>15807579</v>
      </c>
      <c r="F10" s="168">
        <v>1455604</v>
      </c>
      <c r="G10" s="168">
        <v>11646384</v>
      </c>
      <c r="H10" s="168">
        <v>1160398</v>
      </c>
      <c r="I10" s="169">
        <v>344252</v>
      </c>
      <c r="K10" s="313">
        <f>SUM(C10:G10)</f>
        <v>84690441</v>
      </c>
      <c r="L10" s="313">
        <f>SUM(H10:I10)</f>
        <v>1504650</v>
      </c>
    </row>
    <row r="11" spans="1:12">
      <c r="A11" s="166" t="s">
        <v>268</v>
      </c>
      <c r="B11" s="167">
        <f>SUM(C11:I11)</f>
        <v>86602881</v>
      </c>
      <c r="C11" s="373">
        <v>31360052</v>
      </c>
      <c r="D11" s="373">
        <v>20374456</v>
      </c>
      <c r="E11" s="373">
        <v>20298442</v>
      </c>
      <c r="F11" s="373">
        <v>1461725</v>
      </c>
      <c r="G11" s="373">
        <v>11594573</v>
      </c>
      <c r="H11" s="373">
        <v>1169381</v>
      </c>
      <c r="I11" s="374">
        <v>344252</v>
      </c>
      <c r="K11" s="313">
        <f>SUM(C11:G11)</f>
        <v>85089248</v>
      </c>
      <c r="L11" s="313">
        <f>SUM(H11:I11)</f>
        <v>1513633</v>
      </c>
    </row>
    <row r="12" spans="1:12">
      <c r="A12" s="272" t="s">
        <v>255</v>
      </c>
      <c r="B12" s="167">
        <f>SUM(C12:I12)</f>
        <v>-407790</v>
      </c>
      <c r="C12" s="168">
        <f t="shared" ref="C12:I12" si="0">+C10-C11</f>
        <v>-6461389</v>
      </c>
      <c r="D12" s="168">
        <f t="shared" si="0"/>
        <v>10507755</v>
      </c>
      <c r="E12" s="168">
        <f t="shared" si="0"/>
        <v>-4490863</v>
      </c>
      <c r="F12" s="168">
        <f t="shared" si="0"/>
        <v>-6121</v>
      </c>
      <c r="G12" s="168">
        <f t="shared" si="0"/>
        <v>51811</v>
      </c>
      <c r="H12" s="168">
        <f t="shared" si="0"/>
        <v>-8983</v>
      </c>
      <c r="I12" s="169">
        <f t="shared" si="0"/>
        <v>0</v>
      </c>
      <c r="K12" s="313">
        <f>+K10-K11</f>
        <v>-398807</v>
      </c>
      <c r="L12" s="313">
        <f>+L10-L11</f>
        <v>-8983</v>
      </c>
    </row>
    <row r="13" spans="1:12">
      <c r="A13" s="135" t="s">
        <v>256</v>
      </c>
      <c r="B13" s="268">
        <f>B12/B10</f>
        <v>-4.7310118855840638E-3</v>
      </c>
      <c r="C13" s="269">
        <f t="shared" ref="C13:I13" si="1">C12/C10</f>
        <v>-0.25950746833273736</v>
      </c>
      <c r="D13" s="270">
        <f t="shared" si="1"/>
        <v>0.34025267815183313</v>
      </c>
      <c r="E13" s="270">
        <f t="shared" si="1"/>
        <v>-0.28409555947814652</v>
      </c>
      <c r="F13" s="270">
        <f t="shared" si="1"/>
        <v>-4.2051272186666155E-3</v>
      </c>
      <c r="G13" s="270">
        <f t="shared" si="1"/>
        <v>4.4486769455652497E-3</v>
      </c>
      <c r="H13" s="270">
        <f t="shared" si="1"/>
        <v>-7.7413094472758483E-3</v>
      </c>
      <c r="I13" s="271">
        <f t="shared" si="1"/>
        <v>0</v>
      </c>
    </row>
    <row r="14" spans="1:12">
      <c r="A14" s="21"/>
      <c r="B14" s="147"/>
      <c r="C14" s="48"/>
      <c r="D14" s="48"/>
      <c r="E14" s="48"/>
      <c r="F14" s="48"/>
      <c r="G14" s="48"/>
      <c r="H14" s="48"/>
      <c r="I14" s="49"/>
    </row>
    <row r="15" spans="1:12" hidden="1">
      <c r="A15" s="132" t="s">
        <v>176</v>
      </c>
      <c r="B15" s="145"/>
      <c r="C15" s="128">
        <v>2.4578651685393258E-3</v>
      </c>
      <c r="D15" s="128">
        <v>0.28281679535432924</v>
      </c>
      <c r="E15" s="128">
        <v>0.18148333287208723</v>
      </c>
      <c r="F15" s="128">
        <v>7.0296788804634601E-3</v>
      </c>
      <c r="G15" s="128">
        <v>0.52621232772458071</v>
      </c>
      <c r="H15" s="47"/>
      <c r="I15" s="46"/>
    </row>
    <row r="16" spans="1:12">
      <c r="A16" s="21" t="s">
        <v>273</v>
      </c>
      <c r="B16" s="145">
        <f>ROUND(SUM(C10:G10)*0.05,0)</f>
        <v>4234522</v>
      </c>
      <c r="C16" s="129"/>
      <c r="D16" s="129"/>
      <c r="E16" s="129"/>
      <c r="F16" s="129"/>
      <c r="G16" s="129"/>
      <c r="H16" s="133"/>
      <c r="I16" s="134"/>
    </row>
    <row r="17" spans="1:9" s="14" customFormat="1">
      <c r="A17" s="172" t="s">
        <v>177</v>
      </c>
      <c r="B17" s="167">
        <f>SUM(C17:I17)</f>
        <v>4234522</v>
      </c>
      <c r="C17" s="170">
        <f>+ROUND((+C15*$B$16),0)</f>
        <v>10408</v>
      </c>
      <c r="D17" s="170">
        <f>ROUND((+D15*$B$16),0)</f>
        <v>1197594</v>
      </c>
      <c r="E17" s="170">
        <f>ROUND((+E15*$B$16),0)</f>
        <v>768495</v>
      </c>
      <c r="F17" s="170">
        <f>ROUND((+F15*$B$16),0)</f>
        <v>29767</v>
      </c>
      <c r="G17" s="170">
        <f>ROUND((+G15*$B$16),0)</f>
        <v>2228258</v>
      </c>
      <c r="H17" s="170"/>
      <c r="I17" s="171"/>
    </row>
    <row r="18" spans="1:9" s="43" customFormat="1">
      <c r="A18" s="135"/>
      <c r="B18" s="148"/>
      <c r="C18" s="136"/>
      <c r="D18" s="136"/>
      <c r="E18" s="136"/>
      <c r="F18" s="136"/>
      <c r="G18" s="136"/>
      <c r="H18" s="130"/>
      <c r="I18" s="131"/>
    </row>
    <row r="19" spans="1:9" ht="17.25">
      <c r="A19" s="38" t="s">
        <v>184</v>
      </c>
      <c r="B19" s="145">
        <f>SUM(C19:I19)</f>
        <v>1565058</v>
      </c>
      <c r="C19" s="45">
        <v>404660</v>
      </c>
      <c r="D19" s="48"/>
      <c r="E19" s="45"/>
      <c r="F19" s="45"/>
      <c r="G19" s="45"/>
      <c r="H19" s="45">
        <f>+H10</f>
        <v>1160398</v>
      </c>
      <c r="I19" s="46"/>
    </row>
    <row r="20" spans="1:9">
      <c r="A20" s="38" t="s">
        <v>29</v>
      </c>
      <c r="B20" s="145">
        <f>SUM(C20:I20)</f>
        <v>344252</v>
      </c>
      <c r="C20" s="45"/>
      <c r="D20" s="45"/>
      <c r="E20" s="45"/>
      <c r="F20" s="45"/>
      <c r="G20" s="45"/>
      <c r="H20" s="45"/>
      <c r="I20" s="46">
        <f>I10</f>
        <v>344252</v>
      </c>
    </row>
    <row r="21" spans="1:9">
      <c r="A21" s="141"/>
      <c r="B21" s="149"/>
      <c r="C21" s="142"/>
      <c r="D21" s="142"/>
      <c r="E21" s="142"/>
      <c r="F21" s="142"/>
      <c r="G21" s="142"/>
      <c r="H21" s="142"/>
      <c r="I21" s="143"/>
    </row>
    <row r="22" spans="1:9" ht="17.25">
      <c r="A22" s="21" t="s">
        <v>179</v>
      </c>
      <c r="B22" s="147">
        <f>B10-B17-B19-B20</f>
        <v>80051259</v>
      </c>
      <c r="C22" s="48">
        <f>SUM(C10-C17-C19)</f>
        <v>24483595</v>
      </c>
      <c r="D22" s="48">
        <f>SUM(D10-D17)</f>
        <v>29684617</v>
      </c>
      <c r="E22" s="48">
        <f>SUM(E10-E17)</f>
        <v>15039084</v>
      </c>
      <c r="F22" s="48">
        <f>SUM(F10-F17)</f>
        <v>1425837</v>
      </c>
      <c r="G22" s="48">
        <f>SUM(G10-G17)</f>
        <v>9418126</v>
      </c>
      <c r="H22" s="48"/>
      <c r="I22" s="49"/>
    </row>
    <row r="23" spans="1:9" ht="17.25">
      <c r="A23" s="19" t="s">
        <v>178</v>
      </c>
      <c r="B23" s="150">
        <f>SUM(C23:G23)</f>
        <v>8005126</v>
      </c>
      <c r="C23" s="130">
        <f>ROUND((C22*10%+F22*10%),0)</f>
        <v>2590943</v>
      </c>
      <c r="D23" s="130">
        <f>ROUND((D22*10%),0)</f>
        <v>2968462</v>
      </c>
      <c r="E23" s="130">
        <f>ROUND((E22*10%),0)</f>
        <v>1503908</v>
      </c>
      <c r="F23" s="130"/>
      <c r="G23" s="130">
        <f>ROUND((G22*10%),0)</f>
        <v>941813</v>
      </c>
      <c r="H23" s="130"/>
      <c r="I23" s="131"/>
    </row>
    <row r="24" spans="1:9">
      <c r="A24" s="166" t="s">
        <v>269</v>
      </c>
      <c r="B24" s="151">
        <f>+B22-B23</f>
        <v>72046133</v>
      </c>
      <c r="C24" s="139">
        <f t="shared" ref="C24:G24" si="2">C22-C23</f>
        <v>21892652</v>
      </c>
      <c r="D24" s="139">
        <f t="shared" si="2"/>
        <v>26716155</v>
      </c>
      <c r="E24" s="139">
        <f t="shared" si="2"/>
        <v>13535176</v>
      </c>
      <c r="F24" s="139">
        <f t="shared" si="2"/>
        <v>1425837</v>
      </c>
      <c r="G24" s="139">
        <f t="shared" si="2"/>
        <v>8476313</v>
      </c>
      <c r="H24" s="139"/>
      <c r="I24" s="173"/>
    </row>
    <row r="25" spans="1:9" ht="8.25" customHeight="1">
      <c r="A25" s="19"/>
      <c r="B25" s="145"/>
      <c r="C25" s="45"/>
      <c r="D25" s="45"/>
      <c r="E25" s="45"/>
      <c r="F25" s="45"/>
      <c r="G25" s="45"/>
      <c r="H25" s="45"/>
      <c r="I25" s="46"/>
    </row>
    <row r="26" spans="1:9">
      <c r="A26" s="132" t="s">
        <v>270</v>
      </c>
      <c r="B26" s="146">
        <f>SUM(C26:G26)</f>
        <v>8005126</v>
      </c>
      <c r="C26" s="45">
        <f>+C23</f>
        <v>2590943</v>
      </c>
      <c r="D26" s="45">
        <f t="shared" ref="D26:G26" si="3">+D23</f>
        <v>2968462</v>
      </c>
      <c r="E26" s="45">
        <f t="shared" si="3"/>
        <v>1503908</v>
      </c>
      <c r="F26" s="45">
        <f t="shared" si="3"/>
        <v>0</v>
      </c>
      <c r="G26" s="45">
        <f t="shared" si="3"/>
        <v>941813</v>
      </c>
      <c r="H26" s="45"/>
      <c r="I26" s="46"/>
    </row>
    <row r="27" spans="1:9">
      <c r="A27" s="132"/>
      <c r="B27" s="146"/>
      <c r="C27" s="45"/>
      <c r="D27" s="45"/>
      <c r="E27" s="45"/>
      <c r="F27" s="45"/>
      <c r="G27" s="45"/>
      <c r="H27" s="45"/>
      <c r="I27" s="46"/>
    </row>
    <row r="28" spans="1:9" ht="15.75" thickBot="1">
      <c r="A28" s="140" t="s">
        <v>269</v>
      </c>
      <c r="B28" s="229">
        <f>SUM(C28:G28)</f>
        <v>72046133</v>
      </c>
      <c r="C28" s="50">
        <f t="shared" ref="C28:G28" si="4">+C24</f>
        <v>21892652</v>
      </c>
      <c r="D28" s="50">
        <f t="shared" si="4"/>
        <v>26716155</v>
      </c>
      <c r="E28" s="50">
        <f t="shared" si="4"/>
        <v>13535176</v>
      </c>
      <c r="F28" s="50">
        <f t="shared" si="4"/>
        <v>1425837</v>
      </c>
      <c r="G28" s="50">
        <f t="shared" si="4"/>
        <v>8476313</v>
      </c>
      <c r="H28" s="50"/>
      <c r="I28" s="51"/>
    </row>
    <row r="29" spans="1:9" ht="15.75" thickBot="1">
      <c r="A29" s="20"/>
      <c r="B29" s="40"/>
      <c r="C29" s="41"/>
      <c r="D29" s="41"/>
      <c r="E29" s="41"/>
      <c r="F29" s="41"/>
      <c r="G29" s="41"/>
      <c r="H29" s="20"/>
      <c r="I29" s="20"/>
    </row>
    <row r="30" spans="1:9">
      <c r="B30" s="20"/>
      <c r="C30" s="20"/>
      <c r="D30" s="20"/>
      <c r="E30" s="20"/>
      <c r="G30" s="42" t="s">
        <v>29</v>
      </c>
      <c r="H30" s="32"/>
      <c r="I30" s="33"/>
    </row>
    <row r="31" spans="1:9" ht="15.75" thickBot="1">
      <c r="A31" s="22"/>
      <c r="B31" s="22"/>
      <c r="C31" s="22"/>
      <c r="D31" s="22"/>
      <c r="E31" s="22"/>
      <c r="G31" s="26" t="s">
        <v>272</v>
      </c>
      <c r="H31" s="27"/>
      <c r="I31" s="35" t="s">
        <v>248</v>
      </c>
    </row>
    <row r="32" spans="1:9">
      <c r="A32" s="22"/>
      <c r="B32" s="22"/>
      <c r="C32" s="22"/>
      <c r="D32" s="22"/>
      <c r="E32" s="22"/>
      <c r="G32" s="28" t="s">
        <v>5</v>
      </c>
      <c r="H32" s="25" t="s">
        <v>28</v>
      </c>
      <c r="I32" s="29" t="s">
        <v>27</v>
      </c>
    </row>
    <row r="33" spans="1:9">
      <c r="A33" s="22"/>
      <c r="B33" s="22"/>
      <c r="C33" s="22"/>
      <c r="D33" s="22"/>
      <c r="E33" s="22"/>
      <c r="F33" s="22"/>
      <c r="G33" s="28">
        <v>1</v>
      </c>
      <c r="H33" s="36" t="s">
        <v>237</v>
      </c>
      <c r="I33" s="174">
        <v>21266.91</v>
      </c>
    </row>
    <row r="34" spans="1:9">
      <c r="G34" s="28">
        <v>2</v>
      </c>
      <c r="H34" s="36" t="s">
        <v>238</v>
      </c>
      <c r="I34" s="174">
        <v>21266.91</v>
      </c>
    </row>
    <row r="35" spans="1:9">
      <c r="G35" s="28">
        <v>3</v>
      </c>
      <c r="H35" s="36" t="s">
        <v>239</v>
      </c>
      <c r="I35" s="174">
        <v>21266.91</v>
      </c>
    </row>
    <row r="36" spans="1:9">
      <c r="A36" s="137" t="s">
        <v>26</v>
      </c>
      <c r="G36" s="28">
        <v>4</v>
      </c>
      <c r="H36" s="36" t="s">
        <v>240</v>
      </c>
      <c r="I36" s="174">
        <v>21266.91</v>
      </c>
    </row>
    <row r="37" spans="1:9">
      <c r="A37" s="13" t="s">
        <v>226</v>
      </c>
      <c r="G37" s="28">
        <v>5</v>
      </c>
      <c r="H37" s="36" t="s">
        <v>241</v>
      </c>
      <c r="I37" s="174">
        <v>21266.91</v>
      </c>
    </row>
    <row r="38" spans="1:9">
      <c r="A38" s="13" t="s">
        <v>183</v>
      </c>
      <c r="G38" s="28">
        <v>6</v>
      </c>
      <c r="H38" s="36" t="s">
        <v>242</v>
      </c>
      <c r="I38" s="174">
        <v>21266.91</v>
      </c>
    </row>
    <row r="39" spans="1:9">
      <c r="A39" s="13" t="s">
        <v>181</v>
      </c>
      <c r="G39" s="28">
        <v>7</v>
      </c>
      <c r="H39" s="36" t="s">
        <v>243</v>
      </c>
      <c r="I39" s="174">
        <v>21266.91</v>
      </c>
    </row>
    <row r="40" spans="1:9">
      <c r="A40" s="153" t="s">
        <v>182</v>
      </c>
      <c r="G40" s="28">
        <v>8</v>
      </c>
      <c r="H40" s="36" t="s">
        <v>244</v>
      </c>
      <c r="I40" s="174">
        <v>21266.91</v>
      </c>
    </row>
    <row r="41" spans="1:9">
      <c r="A41" s="30" t="s">
        <v>249</v>
      </c>
      <c r="G41" s="28">
        <v>9</v>
      </c>
      <c r="H41" s="36" t="s">
        <v>245</v>
      </c>
      <c r="I41" s="174">
        <v>21266.91</v>
      </c>
    </row>
    <row r="42" spans="1:9">
      <c r="A42" s="13" t="s">
        <v>271</v>
      </c>
      <c r="G42" s="28">
        <v>10</v>
      </c>
      <c r="H42" s="36" t="s">
        <v>246</v>
      </c>
      <c r="I42" s="174">
        <v>21266.91</v>
      </c>
    </row>
    <row r="43" spans="1:9" ht="15.75" thickBot="1">
      <c r="A43" s="43"/>
      <c r="G43" s="31">
        <v>11</v>
      </c>
      <c r="H43" s="37" t="s">
        <v>247</v>
      </c>
      <c r="I43" s="176">
        <v>21266.91</v>
      </c>
    </row>
    <row r="44" spans="1:9">
      <c r="A44" s="44"/>
      <c r="G44" s="34" t="s">
        <v>25</v>
      </c>
      <c r="H44" s="22"/>
      <c r="I44" s="174">
        <f>SUM(I33:I43)</f>
        <v>233936.01</v>
      </c>
    </row>
    <row r="45" spans="1:9">
      <c r="A45" s="43"/>
      <c r="B45" s="13" t="s">
        <v>0</v>
      </c>
      <c r="G45" s="19" t="s">
        <v>24</v>
      </c>
      <c r="H45" s="20"/>
      <c r="I45" s="175">
        <f>I10-I44</f>
        <v>110315.98999999999</v>
      </c>
    </row>
    <row r="46" spans="1:9" ht="15.75" thickBot="1">
      <c r="A46" s="30"/>
      <c r="B46" s="13" t="s">
        <v>0</v>
      </c>
      <c r="G46" s="23" t="s">
        <v>23</v>
      </c>
      <c r="H46" s="24"/>
      <c r="I46" s="176">
        <f>SUM(I44:I45)</f>
        <v>344252</v>
      </c>
    </row>
    <row r="47" spans="1:9">
      <c r="A47" s="43"/>
    </row>
    <row r="48" spans="1:9">
      <c r="A48" s="43"/>
    </row>
  </sheetData>
  <pageMargins left="0.45" right="0.45" top="0.75" bottom="0.75" header="0.3" footer="0.3"/>
  <pageSetup paperSize="5" scale="87" fitToHeight="0" orientation="landscape" r:id="rId1"/>
  <headerFooter>
    <oddFooter>&amp;C&amp;11Page &amp;P of &amp;N</oddFooter>
  </headerFooter>
  <rowBreaks count="1" manualBreakCount="1">
    <brk id="2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X33"/>
  <sheetViews>
    <sheetView showGridLines="0" zoomScale="85" zoomScaleNormal="85" workbookViewId="0">
      <selection activeCell="A12" sqref="A12"/>
    </sheetView>
  </sheetViews>
  <sheetFormatPr defaultColWidth="8" defaultRowHeight="15.75"/>
  <cols>
    <col min="1" max="1" width="1.44140625" style="75" customWidth="1"/>
    <col min="2" max="2" width="4.5546875" style="75" customWidth="1"/>
    <col min="3" max="4" width="8.33203125" style="75" customWidth="1"/>
    <col min="5" max="6" width="13.6640625" style="75" customWidth="1"/>
    <col min="7" max="7" width="13.6640625" style="75" hidden="1" customWidth="1"/>
    <col min="8" max="10" width="13.6640625" style="75" customWidth="1"/>
    <col min="11" max="11" width="13.6640625" style="75" hidden="1" customWidth="1"/>
    <col min="12" max="14" width="13.6640625" style="75" customWidth="1"/>
    <col min="15" max="15" width="13.6640625" style="75" hidden="1" customWidth="1"/>
    <col min="16" max="18" width="13.6640625" style="75" customWidth="1"/>
    <col min="19" max="19" width="13.6640625" style="75" hidden="1" customWidth="1"/>
    <col min="20" max="24" width="13.6640625" style="75" customWidth="1"/>
    <col min="25" max="16384" width="8" style="75"/>
  </cols>
  <sheetData>
    <row r="1" spans="1:24" ht="18.75">
      <c r="A1" s="123" t="str">
        <f>+'2015 Award #2'!A2</f>
        <v>Grant Award: 2015 Older Americans Act Allocation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</row>
    <row r="2" spans="1:24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4" ht="18.75" customHeight="1">
      <c r="A3" s="125" t="s">
        <v>252</v>
      </c>
      <c r="B3" s="125"/>
      <c r="C3" s="125"/>
      <c r="D3" s="125"/>
      <c r="E3" s="125"/>
      <c r="F3" s="125"/>
      <c r="G3" s="125"/>
      <c r="H3" s="125"/>
      <c r="I3" s="227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</row>
    <row r="4" spans="1:24">
      <c r="A4" s="54"/>
      <c r="B4" s="54"/>
      <c r="C4" s="54"/>
      <c r="D4" s="54"/>
      <c r="E4" s="54"/>
      <c r="F4" s="54"/>
      <c r="G4" s="54"/>
      <c r="H4" s="54"/>
      <c r="I4" s="228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1:24" ht="16.5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1:24" s="100" customFormat="1" ht="7.5" customHeight="1">
      <c r="A6" s="70"/>
      <c r="B6" s="70"/>
      <c r="C6" s="91"/>
      <c r="D6" s="91"/>
      <c r="E6" s="72"/>
      <c r="F6" s="71"/>
      <c r="G6" s="71"/>
      <c r="H6" s="73"/>
      <c r="I6" s="72"/>
      <c r="J6" s="71"/>
      <c r="K6" s="71"/>
      <c r="L6" s="73"/>
      <c r="M6" s="72"/>
      <c r="N6" s="71"/>
      <c r="O6" s="71"/>
      <c r="P6" s="73"/>
      <c r="Q6" s="72"/>
      <c r="R6" s="71"/>
      <c r="S6" s="71"/>
      <c r="T6" s="73"/>
      <c r="U6" s="74"/>
      <c r="V6" s="74"/>
      <c r="W6" s="81"/>
      <c r="X6" s="85"/>
    </row>
    <row r="7" spans="1:24" s="76" customFormat="1">
      <c r="A7" s="55"/>
      <c r="B7" s="55"/>
      <c r="C7" s="99">
        <v>2003</v>
      </c>
      <c r="D7" s="99">
        <v>2015</v>
      </c>
      <c r="E7" s="57">
        <v>2003</v>
      </c>
      <c r="F7" s="56">
        <v>2015</v>
      </c>
      <c r="G7" s="299">
        <v>2014</v>
      </c>
      <c r="H7" s="68">
        <v>2015</v>
      </c>
      <c r="I7" s="57">
        <v>2003</v>
      </c>
      <c r="J7" s="56">
        <v>2015</v>
      </c>
      <c r="K7" s="299">
        <v>2014</v>
      </c>
      <c r="L7" s="68">
        <v>2015</v>
      </c>
      <c r="M7" s="57">
        <v>2003</v>
      </c>
      <c r="N7" s="56">
        <v>2015</v>
      </c>
      <c r="O7" s="299">
        <v>2014</v>
      </c>
      <c r="P7" s="68">
        <v>2015</v>
      </c>
      <c r="Q7" s="57">
        <v>2003</v>
      </c>
      <c r="R7" s="56">
        <v>2015</v>
      </c>
      <c r="S7" s="299">
        <v>2014</v>
      </c>
      <c r="T7" s="68">
        <v>2015</v>
      </c>
      <c r="U7" s="69">
        <v>2015</v>
      </c>
      <c r="V7" s="69">
        <v>2015</v>
      </c>
      <c r="W7" s="82">
        <v>2015</v>
      </c>
      <c r="X7" s="86"/>
    </row>
    <row r="8" spans="1:24">
      <c r="A8" s="52"/>
      <c r="B8" s="52"/>
      <c r="C8" s="92" t="s">
        <v>2</v>
      </c>
      <c r="D8" s="92" t="s">
        <v>2</v>
      </c>
      <c r="E8" s="57" t="s">
        <v>188</v>
      </c>
      <c r="F8" s="67">
        <f>+F29</f>
        <v>-622589</v>
      </c>
      <c r="G8" s="300">
        <f>+G29</f>
        <v>0</v>
      </c>
      <c r="H8" s="68" t="s">
        <v>188</v>
      </c>
      <c r="I8" s="58" t="s">
        <v>189</v>
      </c>
      <c r="J8" s="67">
        <f>+J29</f>
        <v>5103968</v>
      </c>
      <c r="K8" s="300">
        <f>+K29</f>
        <v>0</v>
      </c>
      <c r="L8" s="68" t="s">
        <v>189</v>
      </c>
      <c r="M8" s="58" t="s">
        <v>190</v>
      </c>
      <c r="N8" s="67">
        <f>+N29</f>
        <v>2144363</v>
      </c>
      <c r="O8" s="300">
        <f>+O29</f>
        <v>0</v>
      </c>
      <c r="P8" s="68" t="s">
        <v>190</v>
      </c>
      <c r="Q8" s="58" t="s">
        <v>191</v>
      </c>
      <c r="R8" s="67">
        <f>+R29</f>
        <v>-83203</v>
      </c>
      <c r="S8" s="300">
        <f>+S29</f>
        <v>0</v>
      </c>
      <c r="T8" s="68" t="s">
        <v>191</v>
      </c>
      <c r="U8" s="69" t="s">
        <v>3</v>
      </c>
      <c r="V8" s="69" t="s">
        <v>4</v>
      </c>
      <c r="W8" s="82" t="s">
        <v>3</v>
      </c>
      <c r="X8" s="86" t="s">
        <v>1</v>
      </c>
    </row>
    <row r="9" spans="1:24">
      <c r="A9" s="52"/>
      <c r="B9" s="52" t="s">
        <v>5</v>
      </c>
      <c r="C9" s="92"/>
      <c r="D9" s="92"/>
      <c r="E9" s="58" t="s">
        <v>6</v>
      </c>
      <c r="F9" s="90" t="s">
        <v>147</v>
      </c>
      <c r="G9" s="301" t="s">
        <v>235</v>
      </c>
      <c r="H9" s="68" t="s">
        <v>6</v>
      </c>
      <c r="I9" s="58" t="s">
        <v>8</v>
      </c>
      <c r="J9" s="90" t="s">
        <v>147</v>
      </c>
      <c r="K9" s="301" t="s">
        <v>235</v>
      </c>
      <c r="L9" s="68" t="s">
        <v>8</v>
      </c>
      <c r="M9" s="58" t="s">
        <v>9</v>
      </c>
      <c r="N9" s="90" t="s">
        <v>147</v>
      </c>
      <c r="O9" s="301" t="s">
        <v>235</v>
      </c>
      <c r="P9" s="68" t="s">
        <v>9</v>
      </c>
      <c r="Q9" s="58" t="s">
        <v>15</v>
      </c>
      <c r="R9" s="90" t="s">
        <v>147</v>
      </c>
      <c r="S9" s="301" t="s">
        <v>235</v>
      </c>
      <c r="T9" s="68" t="s">
        <v>15</v>
      </c>
      <c r="U9" s="69" t="s">
        <v>10</v>
      </c>
      <c r="V9" s="69" t="s">
        <v>10</v>
      </c>
      <c r="W9" s="82" t="s">
        <v>11</v>
      </c>
      <c r="X9" s="87" t="s">
        <v>3</v>
      </c>
    </row>
    <row r="10" spans="1:24">
      <c r="A10" s="52"/>
      <c r="B10" s="52"/>
      <c r="C10" s="92"/>
      <c r="D10" s="92"/>
      <c r="E10" s="58" t="s">
        <v>12</v>
      </c>
      <c r="F10" s="59" t="s">
        <v>148</v>
      </c>
      <c r="G10" s="302" t="s">
        <v>147</v>
      </c>
      <c r="H10" s="68" t="s">
        <v>12</v>
      </c>
      <c r="I10" s="58" t="s">
        <v>13</v>
      </c>
      <c r="J10" s="59" t="s">
        <v>148</v>
      </c>
      <c r="K10" s="302" t="s">
        <v>147</v>
      </c>
      <c r="L10" s="68" t="s">
        <v>13</v>
      </c>
      <c r="M10" s="58" t="s">
        <v>13</v>
      </c>
      <c r="N10" s="59" t="s">
        <v>148</v>
      </c>
      <c r="O10" s="302" t="s">
        <v>147</v>
      </c>
      <c r="P10" s="68" t="s">
        <v>13</v>
      </c>
      <c r="Q10" s="58" t="s">
        <v>14</v>
      </c>
      <c r="R10" s="59" t="s">
        <v>149</v>
      </c>
      <c r="S10" s="302" t="s">
        <v>147</v>
      </c>
      <c r="T10" s="68" t="s">
        <v>14</v>
      </c>
      <c r="U10" s="69" t="s">
        <v>16</v>
      </c>
      <c r="V10" s="69" t="s">
        <v>16</v>
      </c>
      <c r="W10" s="82" t="s">
        <v>17</v>
      </c>
      <c r="X10" s="86" t="s">
        <v>12</v>
      </c>
    </row>
    <row r="11" spans="1:24" ht="7.5" customHeight="1" thickBot="1">
      <c r="A11" s="52"/>
      <c r="B11" s="52"/>
      <c r="C11" s="104"/>
      <c r="D11" s="104"/>
      <c r="E11" s="60"/>
      <c r="F11" s="60"/>
      <c r="G11" s="60"/>
      <c r="H11" s="68"/>
      <c r="I11" s="60"/>
      <c r="J11" s="60"/>
      <c r="K11" s="60"/>
      <c r="L11" s="68"/>
      <c r="M11" s="60"/>
      <c r="N11" s="60"/>
      <c r="O11" s="60"/>
      <c r="P11" s="68"/>
      <c r="Q11" s="60"/>
      <c r="R11" s="60"/>
      <c r="S11" s="60"/>
      <c r="T11" s="68"/>
      <c r="U11" s="138"/>
      <c r="V11" s="138"/>
      <c r="W11" s="82"/>
      <c r="X11" s="86"/>
    </row>
    <row r="12" spans="1:24" ht="24" customHeight="1">
      <c r="A12" s="62"/>
      <c r="B12" s="101">
        <v>1</v>
      </c>
      <c r="C12" s="103">
        <f>+'2003 Base Factors'!F5</f>
        <v>3.2346433289943771E-2</v>
      </c>
      <c r="D12" s="103">
        <f>VLOOKUP(B12,'Pivot - Demographics'!$A$4:$F$16,6,0)</f>
        <v>2.7643182888835771E-2</v>
      </c>
      <c r="E12" s="274">
        <v>728288</v>
      </c>
      <c r="F12" s="274">
        <f>IF($F$8&gt;0,ROUND($F$8*$D12,0),ROUND($F$8*$C12,0))+1</f>
        <v>-20138</v>
      </c>
      <c r="G12" s="274">
        <f>ROUND($G$8*$D12,0)+2</f>
        <v>2</v>
      </c>
      <c r="H12" s="275">
        <f t="shared" ref="H12:H22" si="0">SUM(E12:F12)</f>
        <v>708150</v>
      </c>
      <c r="I12" s="274">
        <v>699077</v>
      </c>
      <c r="J12" s="274">
        <f>IF($J$8&gt;0,ROUND($J$8*$D12,0),ROUND($J$8*$C12,0))-2</f>
        <v>141088</v>
      </c>
      <c r="K12" s="274">
        <f>ROUND($K$8*$D12,0)</f>
        <v>0</v>
      </c>
      <c r="L12" s="275">
        <f>SUM(I12:J12)</f>
        <v>840165</v>
      </c>
      <c r="M12" s="274">
        <v>368452</v>
      </c>
      <c r="N12" s="274">
        <f>IF($N$8&gt;0,ROUND($N$8*$D12,0),ROUND($N$8*$C12,0))</f>
        <v>59277</v>
      </c>
      <c r="O12" s="274">
        <f>ROUND($O$8*$D12,0)-1</f>
        <v>-1</v>
      </c>
      <c r="P12" s="275">
        <f t="shared" ref="P12:P22" si="1">SUM(M12:N12)</f>
        <v>427729</v>
      </c>
      <c r="Q12" s="274">
        <v>276870</v>
      </c>
      <c r="R12" s="274">
        <f>IF($R$8&gt;0,ROUND($R$8*$D12,0),ROUND($R$8*$C12,0))</f>
        <v>-2691</v>
      </c>
      <c r="S12" s="274">
        <f>ROUND($S$8*$D12,0)+2</f>
        <v>2</v>
      </c>
      <c r="T12" s="275">
        <f t="shared" ref="T12:T22" si="2">SUM(Q12:R12)</f>
        <v>274179</v>
      </c>
      <c r="U12" s="276">
        <f>+'2015 Admin Formula '!K11</f>
        <v>342016</v>
      </c>
      <c r="V12" s="276">
        <f>+'2015 Admin Formula '!L11</f>
        <v>14871</v>
      </c>
      <c r="W12" s="277">
        <f>+H12+L12+P12+T12+U12+V12</f>
        <v>2607110</v>
      </c>
      <c r="X12" s="278">
        <f>+H12+L12+P12+T12</f>
        <v>2250223</v>
      </c>
    </row>
    <row r="13" spans="1:24" ht="24" customHeight="1">
      <c r="A13" s="63"/>
      <c r="B13" s="102">
        <v>2</v>
      </c>
      <c r="C13" s="103">
        <f>+'2003 Base Factors'!F6</f>
        <v>3.7307159143496388E-2</v>
      </c>
      <c r="D13" s="93">
        <f>VLOOKUP(B13,'Pivot - Demographics'!$A$4:$F$16,6,0)</f>
        <v>3.0430567617910822E-2</v>
      </c>
      <c r="E13" s="273">
        <v>839980</v>
      </c>
      <c r="F13" s="273">
        <f t="shared" ref="F13:F22" si="3">IF($F$8&gt;0,ROUND($F$8*$D13,0),ROUND($F$8*$C13,0))</f>
        <v>-23227</v>
      </c>
      <c r="G13" s="273">
        <f>ROUND($G$8*$D13,0)</f>
        <v>0</v>
      </c>
      <c r="H13" s="279">
        <f t="shared" si="0"/>
        <v>816753</v>
      </c>
      <c r="I13" s="273">
        <v>806289</v>
      </c>
      <c r="J13" s="273">
        <f t="shared" ref="J13:J22" si="4">IF($J$8&gt;0,ROUND($J$8*$D13,0),ROUND($J$8*$C13,0))</f>
        <v>155317</v>
      </c>
      <c r="K13" s="273">
        <f t="shared" ref="K13:K22" si="5">ROUND($K$8*$D13,0)</f>
        <v>0</v>
      </c>
      <c r="L13" s="279">
        <f t="shared" ref="L13:L22" si="6">SUM(I13:J13)</f>
        <v>961606</v>
      </c>
      <c r="M13" s="273">
        <v>424959</v>
      </c>
      <c r="N13" s="273">
        <f t="shared" ref="N13:N22" si="7">IF($N$8&gt;0,ROUND($N$8*$D13,0),ROUND($N$8*$C13,0))</f>
        <v>65254</v>
      </c>
      <c r="O13" s="273">
        <f t="shared" ref="O13:O22" si="8">ROUND($O$8*$D13,0)</f>
        <v>0</v>
      </c>
      <c r="P13" s="279">
        <f t="shared" si="1"/>
        <v>490213</v>
      </c>
      <c r="Q13" s="273">
        <v>319331</v>
      </c>
      <c r="R13" s="273">
        <f t="shared" ref="R13:R22" si="9">IF($R$8&gt;0,ROUND($R$8*$D13,0),ROUND($R$8*$C13,0))</f>
        <v>-3104</v>
      </c>
      <c r="S13" s="273">
        <f t="shared" ref="S13:S22" si="10">ROUND($S$8*$D13,0)</f>
        <v>0</v>
      </c>
      <c r="T13" s="279">
        <f t="shared" si="2"/>
        <v>316227</v>
      </c>
      <c r="U13" s="276">
        <f>+'2015 Admin Formula '!K12</f>
        <v>454851</v>
      </c>
      <c r="V13" s="276">
        <f>+'2015 Admin Formula '!L12</f>
        <v>19778</v>
      </c>
      <c r="W13" s="280">
        <f>+H13+L13+P13+T13+U13+V13</f>
        <v>3059428</v>
      </c>
      <c r="X13" s="281">
        <f>+H13+L13+P13+T13</f>
        <v>2584799</v>
      </c>
    </row>
    <row r="14" spans="1:24" ht="24" customHeight="1">
      <c r="A14" s="63"/>
      <c r="B14" s="102">
        <v>3</v>
      </c>
      <c r="C14" s="103">
        <f>+'2003 Base Factors'!F7</f>
        <v>9.8387186533890128E-2</v>
      </c>
      <c r="D14" s="93">
        <f>VLOOKUP(B14,'Pivot - Demographics'!$A$4:$F$16,6,0)</f>
        <v>9.294644061871743E-2</v>
      </c>
      <c r="E14" s="273">
        <v>2215211</v>
      </c>
      <c r="F14" s="273">
        <f t="shared" si="3"/>
        <v>-61255</v>
      </c>
      <c r="G14" s="273">
        <f t="shared" ref="G14:G22" si="11">ROUND($G$8*$D14,0)</f>
        <v>0</v>
      </c>
      <c r="H14" s="279">
        <f t="shared" si="0"/>
        <v>2153956</v>
      </c>
      <c r="I14" s="273">
        <v>2126362</v>
      </c>
      <c r="J14" s="273">
        <f t="shared" si="4"/>
        <v>474396</v>
      </c>
      <c r="K14" s="273">
        <f t="shared" si="5"/>
        <v>0</v>
      </c>
      <c r="L14" s="279">
        <f t="shared" si="6"/>
        <v>2600758</v>
      </c>
      <c r="M14" s="273">
        <v>1120710</v>
      </c>
      <c r="N14" s="273">
        <f t="shared" si="7"/>
        <v>199311</v>
      </c>
      <c r="O14" s="273">
        <f t="shared" si="8"/>
        <v>0</v>
      </c>
      <c r="P14" s="279">
        <f t="shared" si="1"/>
        <v>1320021</v>
      </c>
      <c r="Q14" s="273">
        <v>842147</v>
      </c>
      <c r="R14" s="273">
        <f t="shared" si="9"/>
        <v>-8186</v>
      </c>
      <c r="S14" s="273">
        <f t="shared" si="10"/>
        <v>0</v>
      </c>
      <c r="T14" s="279">
        <f t="shared" si="2"/>
        <v>833961</v>
      </c>
      <c r="U14" s="276">
        <f>+'2015 Admin Formula '!K13</f>
        <v>884598</v>
      </c>
      <c r="V14" s="276">
        <f>+'2015 Admin Formula '!L13</f>
        <v>38465</v>
      </c>
      <c r="W14" s="280">
        <f t="shared" ref="W14:W22" si="12">+H14+L14+P14+T14+U14+V14</f>
        <v>7831759</v>
      </c>
      <c r="X14" s="281">
        <f t="shared" ref="X14:X22" si="13">+H14+L14+P14+T14</f>
        <v>6908696</v>
      </c>
    </row>
    <row r="15" spans="1:24" ht="24" customHeight="1">
      <c r="A15" s="63"/>
      <c r="B15" s="102">
        <v>4</v>
      </c>
      <c r="C15" s="103">
        <f>+'2003 Base Factors'!F8</f>
        <v>8.7487139002079259E-2</v>
      </c>
      <c r="D15" s="93">
        <f>VLOOKUP(B15,'Pivot - Demographics'!$A$4:$F$16,6,0)</f>
        <v>8.4842805284842518E-2</v>
      </c>
      <c r="E15" s="273">
        <v>1969794</v>
      </c>
      <c r="F15" s="273">
        <f t="shared" si="3"/>
        <v>-54469</v>
      </c>
      <c r="G15" s="273">
        <f t="shared" si="11"/>
        <v>0</v>
      </c>
      <c r="H15" s="279">
        <f t="shared" si="0"/>
        <v>1915325</v>
      </c>
      <c r="I15" s="273">
        <v>1890788</v>
      </c>
      <c r="J15" s="273">
        <f t="shared" si="4"/>
        <v>433035</v>
      </c>
      <c r="K15" s="273">
        <f t="shared" si="5"/>
        <v>0</v>
      </c>
      <c r="L15" s="279">
        <f t="shared" si="6"/>
        <v>2323823</v>
      </c>
      <c r="M15" s="273">
        <v>996550</v>
      </c>
      <c r="N15" s="273">
        <f t="shared" si="7"/>
        <v>181934</v>
      </c>
      <c r="O15" s="273">
        <f t="shared" si="8"/>
        <v>0</v>
      </c>
      <c r="P15" s="279">
        <f t="shared" si="1"/>
        <v>1178484</v>
      </c>
      <c r="Q15" s="273">
        <v>748848</v>
      </c>
      <c r="R15" s="273">
        <f t="shared" si="9"/>
        <v>-7279</v>
      </c>
      <c r="S15" s="273">
        <f t="shared" si="10"/>
        <v>0</v>
      </c>
      <c r="T15" s="279">
        <f t="shared" si="2"/>
        <v>741569</v>
      </c>
      <c r="U15" s="276">
        <f>+'2015 Admin Formula '!K14</f>
        <v>718689</v>
      </c>
      <c r="V15" s="276">
        <f>+'2015 Admin Formula '!L14</f>
        <v>31251</v>
      </c>
      <c r="W15" s="280">
        <f t="shared" si="12"/>
        <v>6909141</v>
      </c>
      <c r="X15" s="281">
        <f t="shared" si="13"/>
        <v>6159201</v>
      </c>
    </row>
    <row r="16" spans="1:24" ht="24" customHeight="1">
      <c r="A16" s="63"/>
      <c r="B16" s="102">
        <v>5</v>
      </c>
      <c r="C16" s="103">
        <f>+'2003 Base Factors'!F9</f>
        <v>8.0889976371614575E-2</v>
      </c>
      <c r="D16" s="93">
        <f>VLOOKUP(B16,'Pivot - Demographics'!$A$4:$F$16,6,0)</f>
        <v>7.5019663096573583E-2</v>
      </c>
      <c r="E16" s="273">
        <v>1821257</v>
      </c>
      <c r="F16" s="273">
        <f t="shared" si="3"/>
        <v>-50361</v>
      </c>
      <c r="G16" s="273">
        <f t="shared" si="11"/>
        <v>0</v>
      </c>
      <c r="H16" s="279">
        <f t="shared" si="0"/>
        <v>1770896</v>
      </c>
      <c r="I16" s="273">
        <v>1748209</v>
      </c>
      <c r="J16" s="273">
        <f t="shared" si="4"/>
        <v>382898</v>
      </c>
      <c r="K16" s="273">
        <f t="shared" si="5"/>
        <v>0</v>
      </c>
      <c r="L16" s="279">
        <f t="shared" si="6"/>
        <v>2131107</v>
      </c>
      <c r="M16" s="273">
        <v>921403</v>
      </c>
      <c r="N16" s="273">
        <f t="shared" si="7"/>
        <v>160869</v>
      </c>
      <c r="O16" s="273">
        <f t="shared" si="8"/>
        <v>0</v>
      </c>
      <c r="P16" s="279">
        <f t="shared" si="1"/>
        <v>1082272</v>
      </c>
      <c r="Q16" s="273">
        <v>692379</v>
      </c>
      <c r="R16" s="273">
        <f t="shared" si="9"/>
        <v>-6730</v>
      </c>
      <c r="S16" s="273">
        <f t="shared" si="10"/>
        <v>0</v>
      </c>
      <c r="T16" s="279">
        <f t="shared" si="2"/>
        <v>685649</v>
      </c>
      <c r="U16" s="276">
        <f>+'2015 Admin Formula '!K15</f>
        <v>639741</v>
      </c>
      <c r="V16" s="276">
        <f>+'2015 Admin Formula '!L15</f>
        <v>27818</v>
      </c>
      <c r="W16" s="280">
        <f t="shared" si="12"/>
        <v>6337483</v>
      </c>
      <c r="X16" s="281">
        <f t="shared" si="13"/>
        <v>5669924</v>
      </c>
    </row>
    <row r="17" spans="1:24" ht="24" customHeight="1">
      <c r="A17" s="63"/>
      <c r="B17" s="102">
        <v>6</v>
      </c>
      <c r="C17" s="103">
        <f>+'2003 Base Factors'!F10</f>
        <v>0.11260679758662843</v>
      </c>
      <c r="D17" s="93">
        <f>VLOOKUP(B17,'Pivot - Demographics'!$A$4:$F$16,6,0)</f>
        <v>0.10933234031020782</v>
      </c>
      <c r="E17" s="273">
        <v>2535369</v>
      </c>
      <c r="F17" s="273">
        <f t="shared" si="3"/>
        <v>-70108</v>
      </c>
      <c r="G17" s="273">
        <f t="shared" si="11"/>
        <v>0</v>
      </c>
      <c r="H17" s="279">
        <f t="shared" si="0"/>
        <v>2465261</v>
      </c>
      <c r="I17" s="273">
        <v>2433679</v>
      </c>
      <c r="J17" s="273">
        <f t="shared" si="4"/>
        <v>558029</v>
      </c>
      <c r="K17" s="273">
        <f t="shared" si="5"/>
        <v>0</v>
      </c>
      <c r="L17" s="279">
        <f t="shared" si="6"/>
        <v>2991708</v>
      </c>
      <c r="M17" s="273">
        <v>1282683</v>
      </c>
      <c r="N17" s="273">
        <f t="shared" si="7"/>
        <v>234448</v>
      </c>
      <c r="O17" s="273">
        <f t="shared" si="8"/>
        <v>0</v>
      </c>
      <c r="P17" s="279">
        <f t="shared" si="1"/>
        <v>1517131</v>
      </c>
      <c r="Q17" s="273">
        <v>963860</v>
      </c>
      <c r="R17" s="273">
        <f t="shared" si="9"/>
        <v>-9369</v>
      </c>
      <c r="S17" s="273">
        <f t="shared" si="10"/>
        <v>0</v>
      </c>
      <c r="T17" s="279">
        <f t="shared" si="2"/>
        <v>954491</v>
      </c>
      <c r="U17" s="276">
        <f>+'2015 Admin Formula '!K16</f>
        <v>851999</v>
      </c>
      <c r="V17" s="276">
        <f>+'2015 Admin Formula '!L16</f>
        <v>37047</v>
      </c>
      <c r="W17" s="280">
        <f t="shared" si="12"/>
        <v>8817637</v>
      </c>
      <c r="X17" s="281">
        <f t="shared" si="13"/>
        <v>7928591</v>
      </c>
    </row>
    <row r="18" spans="1:24" ht="24" customHeight="1">
      <c r="A18" s="63"/>
      <c r="B18" s="102">
        <v>7</v>
      </c>
      <c r="C18" s="103">
        <f>+'2003 Base Factors'!F11</f>
        <v>8.307050472675212E-2</v>
      </c>
      <c r="D18" s="93">
        <f>VLOOKUP(B18,'Pivot - Demographics'!$A$4:$F$16,6,0)</f>
        <v>9.5704319138922314E-2</v>
      </c>
      <c r="E18" s="282">
        <v>1870352</v>
      </c>
      <c r="F18" s="282">
        <f t="shared" si="3"/>
        <v>-51719</v>
      </c>
      <c r="G18" s="273">
        <f t="shared" si="11"/>
        <v>0</v>
      </c>
      <c r="H18" s="279">
        <f t="shared" si="0"/>
        <v>1818633</v>
      </c>
      <c r="I18" s="282">
        <v>1795335</v>
      </c>
      <c r="J18" s="282">
        <f t="shared" si="4"/>
        <v>488472</v>
      </c>
      <c r="K18" s="282">
        <f t="shared" si="5"/>
        <v>0</v>
      </c>
      <c r="L18" s="279">
        <f t="shared" si="6"/>
        <v>2283807</v>
      </c>
      <c r="M18" s="282">
        <v>946241</v>
      </c>
      <c r="N18" s="282">
        <f t="shared" si="7"/>
        <v>205225</v>
      </c>
      <c r="O18" s="282">
        <f t="shared" si="8"/>
        <v>0</v>
      </c>
      <c r="P18" s="279">
        <f t="shared" si="1"/>
        <v>1151466</v>
      </c>
      <c r="Q18" s="282">
        <v>711043</v>
      </c>
      <c r="R18" s="282">
        <f t="shared" si="9"/>
        <v>-6912</v>
      </c>
      <c r="S18" s="282">
        <f t="shared" si="10"/>
        <v>0</v>
      </c>
      <c r="T18" s="279">
        <f t="shared" si="2"/>
        <v>704131</v>
      </c>
      <c r="U18" s="276">
        <f>+'2015 Admin Formula '!K17</f>
        <v>668117</v>
      </c>
      <c r="V18" s="276">
        <f>+'2015 Admin Formula '!L17</f>
        <v>29052</v>
      </c>
      <c r="W18" s="280">
        <f t="shared" si="12"/>
        <v>6655206</v>
      </c>
      <c r="X18" s="281">
        <f t="shared" si="13"/>
        <v>5958037</v>
      </c>
    </row>
    <row r="19" spans="1:24" ht="24" customHeight="1">
      <c r="A19" s="63"/>
      <c r="B19" s="102">
        <v>8</v>
      </c>
      <c r="C19" s="103">
        <f>+'2003 Base Factors'!F12</f>
        <v>8.5294045404828434E-2</v>
      </c>
      <c r="D19" s="93">
        <f>VLOOKUP(B19,'Pivot - Demographics'!$A$4:$F$16,6,0)</f>
        <v>9.1984268275850628E-2</v>
      </c>
      <c r="E19" s="273">
        <v>1920416</v>
      </c>
      <c r="F19" s="273">
        <f t="shared" si="3"/>
        <v>-53103</v>
      </c>
      <c r="G19" s="273">
        <f t="shared" si="11"/>
        <v>0</v>
      </c>
      <c r="H19" s="279">
        <f t="shared" si="0"/>
        <v>1867313</v>
      </c>
      <c r="I19" s="273">
        <v>1843391</v>
      </c>
      <c r="J19" s="273">
        <f t="shared" si="4"/>
        <v>469485</v>
      </c>
      <c r="K19" s="273">
        <f t="shared" si="5"/>
        <v>0</v>
      </c>
      <c r="L19" s="279">
        <f t="shared" si="6"/>
        <v>2312876</v>
      </c>
      <c r="M19" s="273">
        <v>971569</v>
      </c>
      <c r="N19" s="273">
        <f t="shared" si="7"/>
        <v>197248</v>
      </c>
      <c r="O19" s="273">
        <f t="shared" si="8"/>
        <v>0</v>
      </c>
      <c r="P19" s="279">
        <f t="shared" si="1"/>
        <v>1168817</v>
      </c>
      <c r="Q19" s="273">
        <v>730076</v>
      </c>
      <c r="R19" s="273">
        <f t="shared" si="9"/>
        <v>-7097</v>
      </c>
      <c r="S19" s="273">
        <f t="shared" si="10"/>
        <v>0</v>
      </c>
      <c r="T19" s="279">
        <f t="shared" si="2"/>
        <v>722979</v>
      </c>
      <c r="U19" s="276">
        <f>+'2015 Admin Formula '!K18</f>
        <v>744152</v>
      </c>
      <c r="V19" s="276">
        <f>+'2015 Admin Formula '!L18</f>
        <v>32358</v>
      </c>
      <c r="W19" s="280">
        <f t="shared" si="12"/>
        <v>6848495</v>
      </c>
      <c r="X19" s="281">
        <f t="shared" si="13"/>
        <v>6071985</v>
      </c>
    </row>
    <row r="20" spans="1:24" ht="24" customHeight="1">
      <c r="A20" s="63"/>
      <c r="B20" s="102">
        <v>9</v>
      </c>
      <c r="C20" s="103">
        <f>+'2003 Base Factors'!F13</f>
        <v>0.10247270052431458</v>
      </c>
      <c r="D20" s="93">
        <f>VLOOKUP(B20,'Pivot - Demographics'!$A$4:$F$16,6,0)</f>
        <v>0.10429390695607295</v>
      </c>
      <c r="E20" s="273">
        <v>2307198</v>
      </c>
      <c r="F20" s="273">
        <f t="shared" si="3"/>
        <v>-63798</v>
      </c>
      <c r="G20" s="273">
        <f t="shared" si="11"/>
        <v>0</v>
      </c>
      <c r="H20" s="279">
        <f t="shared" si="0"/>
        <v>2243400</v>
      </c>
      <c r="I20" s="273">
        <v>2214659</v>
      </c>
      <c r="J20" s="273">
        <f t="shared" si="4"/>
        <v>532313</v>
      </c>
      <c r="K20" s="273">
        <f t="shared" si="5"/>
        <v>0</v>
      </c>
      <c r="L20" s="279">
        <f t="shared" si="6"/>
        <v>2746972</v>
      </c>
      <c r="M20" s="273">
        <v>1167247</v>
      </c>
      <c r="N20" s="273">
        <f t="shared" si="7"/>
        <v>223644</v>
      </c>
      <c r="O20" s="273">
        <f t="shared" si="8"/>
        <v>0</v>
      </c>
      <c r="P20" s="279">
        <f t="shared" si="1"/>
        <v>1390891</v>
      </c>
      <c r="Q20" s="273">
        <v>877117</v>
      </c>
      <c r="R20" s="273">
        <f t="shared" si="9"/>
        <v>-8526</v>
      </c>
      <c r="S20" s="273">
        <f t="shared" si="10"/>
        <v>0</v>
      </c>
      <c r="T20" s="279">
        <f t="shared" si="2"/>
        <v>868591</v>
      </c>
      <c r="U20" s="276">
        <f>+'2015 Admin Formula '!K19</f>
        <v>806494</v>
      </c>
      <c r="V20" s="276">
        <f>+'2015 Admin Formula '!L19</f>
        <v>35069</v>
      </c>
      <c r="W20" s="280">
        <f t="shared" si="12"/>
        <v>8091417</v>
      </c>
      <c r="X20" s="281">
        <f t="shared" si="13"/>
        <v>7249854</v>
      </c>
    </row>
    <row r="21" spans="1:24" ht="24" customHeight="1">
      <c r="A21" s="63"/>
      <c r="B21" s="102">
        <v>10</v>
      </c>
      <c r="C21" s="103">
        <f>+'2003 Base Factors'!F14</f>
        <v>8.4656595220878122E-2</v>
      </c>
      <c r="D21" s="93">
        <f>VLOOKUP(B21,'Pivot - Demographics'!$A$4:$F$16,6,0)</f>
        <v>9.0360393436161923E-2</v>
      </c>
      <c r="E21" s="273">
        <v>1906064</v>
      </c>
      <c r="F21" s="273">
        <f t="shared" si="3"/>
        <v>-52706</v>
      </c>
      <c r="G21" s="273">
        <f t="shared" si="11"/>
        <v>0</v>
      </c>
      <c r="H21" s="279">
        <f t="shared" si="0"/>
        <v>1853358</v>
      </c>
      <c r="I21" s="273">
        <v>1829614</v>
      </c>
      <c r="J21" s="273">
        <f t="shared" si="4"/>
        <v>461197</v>
      </c>
      <c r="K21" s="273">
        <f t="shared" si="5"/>
        <v>0</v>
      </c>
      <c r="L21" s="279">
        <f t="shared" si="6"/>
        <v>2290811</v>
      </c>
      <c r="M21" s="273">
        <v>964307</v>
      </c>
      <c r="N21" s="273">
        <f t="shared" si="7"/>
        <v>193765</v>
      </c>
      <c r="O21" s="273">
        <f t="shared" si="8"/>
        <v>0</v>
      </c>
      <c r="P21" s="279">
        <f t="shared" si="1"/>
        <v>1158072</v>
      </c>
      <c r="Q21" s="273">
        <v>724619</v>
      </c>
      <c r="R21" s="273">
        <f t="shared" si="9"/>
        <v>-7044</v>
      </c>
      <c r="S21" s="273">
        <f t="shared" si="10"/>
        <v>0</v>
      </c>
      <c r="T21" s="279">
        <f t="shared" si="2"/>
        <v>717575</v>
      </c>
      <c r="U21" s="276">
        <f>+'2015 Admin Formula '!K20</f>
        <v>639294</v>
      </c>
      <c r="V21" s="276">
        <f>+'2015 Admin Formula '!L20</f>
        <v>27798</v>
      </c>
      <c r="W21" s="280">
        <f t="shared" si="12"/>
        <v>6686908</v>
      </c>
      <c r="X21" s="281">
        <f t="shared" si="13"/>
        <v>6019816</v>
      </c>
    </row>
    <row r="22" spans="1:24" ht="24" customHeight="1">
      <c r="A22" s="63"/>
      <c r="B22" s="102">
        <v>11</v>
      </c>
      <c r="C22" s="103">
        <f>+'2003 Base Factors'!F15</f>
        <v>0.19548146219557413</v>
      </c>
      <c r="D22" s="93">
        <f>VLOOKUP(B22,'Pivot - Demographics'!$A$4:$F$16,6,0)</f>
        <v>0.1974421123759042</v>
      </c>
      <c r="E22" s="273">
        <v>4401312</v>
      </c>
      <c r="F22" s="273">
        <f t="shared" si="3"/>
        <v>-121705</v>
      </c>
      <c r="G22" s="273">
        <f t="shared" si="11"/>
        <v>0</v>
      </c>
      <c r="H22" s="279">
        <f t="shared" si="0"/>
        <v>4279607</v>
      </c>
      <c r="I22" s="273">
        <f>4224784</f>
        <v>4224784</v>
      </c>
      <c r="J22" s="273">
        <f t="shared" si="4"/>
        <v>1007738</v>
      </c>
      <c r="K22" s="273">
        <f t="shared" si="5"/>
        <v>0</v>
      </c>
      <c r="L22" s="279">
        <f t="shared" si="6"/>
        <v>5232522</v>
      </c>
      <c r="M22" s="273">
        <f>2226692</f>
        <v>2226692</v>
      </c>
      <c r="N22" s="273">
        <f t="shared" si="7"/>
        <v>423388</v>
      </c>
      <c r="O22" s="273">
        <f t="shared" si="8"/>
        <v>0</v>
      </c>
      <c r="P22" s="279">
        <f t="shared" si="1"/>
        <v>2650080</v>
      </c>
      <c r="Q22" s="273">
        <f>1673226</f>
        <v>1673226</v>
      </c>
      <c r="R22" s="273">
        <f t="shared" si="9"/>
        <v>-16265</v>
      </c>
      <c r="S22" s="273">
        <f t="shared" si="10"/>
        <v>0</v>
      </c>
      <c r="T22" s="279">
        <f t="shared" si="2"/>
        <v>1656961</v>
      </c>
      <c r="U22" s="276">
        <f>+'2015 Admin Formula '!K21</f>
        <v>1230175</v>
      </c>
      <c r="V22" s="276">
        <f>+'2015 Admin Formula '!L21</f>
        <v>53491</v>
      </c>
      <c r="W22" s="280">
        <f t="shared" si="12"/>
        <v>15102836</v>
      </c>
      <c r="X22" s="281">
        <f t="shared" si="13"/>
        <v>13819170</v>
      </c>
    </row>
    <row r="23" spans="1:24" s="76" customFormat="1" ht="27" customHeight="1" thickBot="1">
      <c r="A23" s="64"/>
      <c r="B23" s="64" t="s">
        <v>1</v>
      </c>
      <c r="C23" s="94">
        <f t="shared" ref="C23" si="14">SUM(C12:C22)</f>
        <v>0.99999999999999989</v>
      </c>
      <c r="D23" s="94">
        <f t="shared" ref="D23:X23" si="15">SUM(D12:D22)</f>
        <v>1</v>
      </c>
      <c r="E23" s="283">
        <f t="shared" si="15"/>
        <v>22515241</v>
      </c>
      <c r="F23" s="283">
        <f t="shared" si="15"/>
        <v>-622589</v>
      </c>
      <c r="G23" s="283">
        <f t="shared" si="15"/>
        <v>2</v>
      </c>
      <c r="H23" s="284">
        <f t="shared" si="15"/>
        <v>21892652</v>
      </c>
      <c r="I23" s="283">
        <f t="shared" si="15"/>
        <v>21612187</v>
      </c>
      <c r="J23" s="283">
        <f t="shared" si="15"/>
        <v>5103968</v>
      </c>
      <c r="K23" s="283">
        <f t="shared" ref="K23" si="16">SUM(K12:K22)</f>
        <v>0</v>
      </c>
      <c r="L23" s="284">
        <f t="shared" si="15"/>
        <v>26716155</v>
      </c>
      <c r="M23" s="283">
        <f t="shared" si="15"/>
        <v>11390813</v>
      </c>
      <c r="N23" s="283">
        <f t="shared" ref="N23:P23" si="17">SUM(N12:N22)</f>
        <v>2144363</v>
      </c>
      <c r="O23" s="283">
        <f t="shared" si="17"/>
        <v>-1</v>
      </c>
      <c r="P23" s="284">
        <f t="shared" si="17"/>
        <v>13535176</v>
      </c>
      <c r="Q23" s="283">
        <f t="shared" si="15"/>
        <v>8559516</v>
      </c>
      <c r="R23" s="283">
        <f t="shared" si="15"/>
        <v>-83203</v>
      </c>
      <c r="S23" s="283">
        <f t="shared" si="15"/>
        <v>2</v>
      </c>
      <c r="T23" s="284">
        <f t="shared" si="15"/>
        <v>8476313</v>
      </c>
      <c r="U23" s="285">
        <f t="shared" si="15"/>
        <v>7980126</v>
      </c>
      <c r="V23" s="285">
        <f t="shared" si="15"/>
        <v>346998</v>
      </c>
      <c r="W23" s="286">
        <f t="shared" si="15"/>
        <v>78947420</v>
      </c>
      <c r="X23" s="287">
        <f t="shared" si="15"/>
        <v>70620296</v>
      </c>
    </row>
    <row r="24" spans="1:24">
      <c r="A24" s="52"/>
      <c r="B24" s="52"/>
      <c r="C24" s="52"/>
      <c r="D24" s="52"/>
      <c r="E24" s="61"/>
      <c r="F24" s="61"/>
      <c r="G24" s="61"/>
      <c r="H24" s="61"/>
      <c r="I24" s="52"/>
      <c r="J24" s="52"/>
      <c r="K24" s="61"/>
      <c r="L24" s="52"/>
      <c r="M24" s="52"/>
      <c r="N24" s="52"/>
      <c r="O24" s="61"/>
      <c r="P24" s="52"/>
      <c r="Q24" s="52"/>
      <c r="R24" s="52"/>
      <c r="S24" s="61"/>
      <c r="T24" s="52"/>
      <c r="U24" s="52"/>
      <c r="V24" s="52"/>
      <c r="W24" s="61"/>
      <c r="X24" s="52"/>
    </row>
    <row r="25" spans="1:24">
      <c r="A25" s="52"/>
      <c r="B25" s="52"/>
      <c r="C25" s="52"/>
      <c r="D25" s="52"/>
      <c r="E25" s="61"/>
      <c r="F25" s="61"/>
      <c r="G25" s="61"/>
      <c r="H25" s="61"/>
      <c r="I25" s="52"/>
      <c r="J25" s="52"/>
      <c r="K25" s="61"/>
      <c r="L25" s="52"/>
      <c r="M25" s="52"/>
      <c r="N25" s="52"/>
      <c r="O25" s="61"/>
      <c r="P25" s="52"/>
      <c r="Q25" s="52"/>
      <c r="R25" s="52"/>
      <c r="S25" s="61"/>
      <c r="T25" s="52"/>
      <c r="U25" s="52"/>
      <c r="V25" s="52"/>
      <c r="W25" s="61"/>
      <c r="X25" s="52"/>
    </row>
    <row r="26" spans="1:24">
      <c r="A26" s="52"/>
      <c r="B26" s="53" t="s">
        <v>136</v>
      </c>
      <c r="C26" s="52"/>
      <c r="D26" s="52"/>
      <c r="F26" s="309" t="s">
        <v>236</v>
      </c>
      <c r="G26" s="303" t="s">
        <v>235</v>
      </c>
      <c r="H26" s="61"/>
      <c r="J26" s="309" t="s">
        <v>236</v>
      </c>
      <c r="K26" s="303" t="s">
        <v>235</v>
      </c>
      <c r="L26" s="52"/>
      <c r="N26" s="309" t="s">
        <v>236</v>
      </c>
      <c r="O26" s="303" t="s">
        <v>235</v>
      </c>
      <c r="P26" s="52"/>
      <c r="R26" s="309" t="s">
        <v>236</v>
      </c>
      <c r="S26" s="303" t="s">
        <v>235</v>
      </c>
      <c r="T26" s="52"/>
      <c r="V26" s="52"/>
      <c r="W26" s="61"/>
      <c r="X26" s="52"/>
    </row>
    <row r="27" spans="1:24">
      <c r="A27" s="52"/>
      <c r="B27" s="65" t="s">
        <v>274</v>
      </c>
      <c r="C27" s="52"/>
      <c r="D27" s="52"/>
      <c r="F27" s="77">
        <f>ROUND(('2015 Award #2'!C24),0)</f>
        <v>21892652</v>
      </c>
      <c r="G27" s="304"/>
      <c r="H27" s="77"/>
      <c r="J27" s="77">
        <f>ROUND(('2015 Award #2'!D24),0)</f>
        <v>26716155</v>
      </c>
      <c r="K27" s="304"/>
      <c r="L27" s="77"/>
      <c r="N27" s="77">
        <f>ROUND(('2015 Award #2'!E24),0)</f>
        <v>13535176</v>
      </c>
      <c r="O27" s="304"/>
      <c r="P27" s="77"/>
      <c r="R27" s="77">
        <f>ROUND(('2015 Award #2'!G24),0)</f>
        <v>8476313</v>
      </c>
      <c r="S27" s="304"/>
      <c r="T27" s="61"/>
      <c r="U27" s="304"/>
      <c r="V27" s="52"/>
      <c r="W27" s="61"/>
      <c r="X27" s="61"/>
    </row>
    <row r="28" spans="1:24">
      <c r="A28" s="52"/>
      <c r="B28" s="66" t="s">
        <v>135</v>
      </c>
      <c r="C28" s="52"/>
      <c r="D28" s="52"/>
      <c r="F28" s="78">
        <f>+E23</f>
        <v>22515241</v>
      </c>
      <c r="G28" s="305"/>
      <c r="H28" s="77"/>
      <c r="J28" s="78">
        <f>+I23</f>
        <v>21612187</v>
      </c>
      <c r="K28" s="305"/>
      <c r="L28" s="77"/>
      <c r="N28" s="78">
        <f>+M23</f>
        <v>11390813</v>
      </c>
      <c r="O28" s="305"/>
      <c r="P28" s="77"/>
      <c r="R28" s="78">
        <f>+Q23</f>
        <v>8559516</v>
      </c>
      <c r="S28" s="305"/>
      <c r="T28" s="61"/>
      <c r="U28" s="304"/>
      <c r="V28" s="52"/>
      <c r="W28" s="61"/>
      <c r="X28" s="61"/>
    </row>
    <row r="29" spans="1:24">
      <c r="A29" s="52"/>
      <c r="B29" s="88" t="s">
        <v>7</v>
      </c>
      <c r="C29" s="53"/>
      <c r="D29" s="53"/>
      <c r="F29" s="89">
        <f>+F27-F28</f>
        <v>-622589</v>
      </c>
      <c r="G29" s="306">
        <f>+G27-G28</f>
        <v>0</v>
      </c>
      <c r="H29" s="89"/>
      <c r="J29" s="89">
        <f>+J27-J28</f>
        <v>5103968</v>
      </c>
      <c r="K29" s="306">
        <f>+K27-K28</f>
        <v>0</v>
      </c>
      <c r="L29" s="89"/>
      <c r="N29" s="89">
        <f>+N27-N28</f>
        <v>2144363</v>
      </c>
      <c r="O29" s="306">
        <f>+O27-O28</f>
        <v>0</v>
      </c>
      <c r="P29" s="89"/>
      <c r="R29" s="89">
        <f>+R27-R28</f>
        <v>-83203</v>
      </c>
      <c r="S29" s="306">
        <f>+S27-S28</f>
        <v>0</v>
      </c>
      <c r="T29" s="61"/>
      <c r="U29" s="304"/>
      <c r="V29" s="61"/>
      <c r="W29" s="61"/>
      <c r="X29" s="61"/>
    </row>
    <row r="30" spans="1:24">
      <c r="B30" s="66" t="s">
        <v>137</v>
      </c>
      <c r="F30" s="80">
        <f>+F23</f>
        <v>-622589</v>
      </c>
      <c r="G30" s="307">
        <f>+G23</f>
        <v>2</v>
      </c>
      <c r="H30" s="79"/>
      <c r="J30" s="80">
        <f>+J23</f>
        <v>5103968</v>
      </c>
      <c r="K30" s="307">
        <f>+K23</f>
        <v>0</v>
      </c>
      <c r="L30" s="79"/>
      <c r="N30" s="80">
        <f>+N23</f>
        <v>2144363</v>
      </c>
      <c r="O30" s="307">
        <f>+O23</f>
        <v>-1</v>
      </c>
      <c r="P30" s="79"/>
      <c r="R30" s="80">
        <f>+R23</f>
        <v>-83203</v>
      </c>
      <c r="S30" s="307">
        <f>+S23</f>
        <v>2</v>
      </c>
      <c r="U30" s="304"/>
    </row>
    <row r="31" spans="1:24">
      <c r="A31" s="76"/>
      <c r="B31" s="66" t="s">
        <v>30</v>
      </c>
      <c r="F31" s="79">
        <f>+F29-F30</f>
        <v>0</v>
      </c>
      <c r="G31" s="308">
        <f>+G29-G30</f>
        <v>-2</v>
      </c>
      <c r="H31" s="79"/>
      <c r="J31" s="79">
        <f>+J29-J30</f>
        <v>0</v>
      </c>
      <c r="K31" s="308">
        <f>+K29-K30</f>
        <v>0</v>
      </c>
      <c r="L31" s="79"/>
      <c r="N31" s="79">
        <f>+N29-N30</f>
        <v>0</v>
      </c>
      <c r="O31" s="308">
        <f>+O29-O30</f>
        <v>1</v>
      </c>
      <c r="P31" s="79"/>
      <c r="R31" s="79">
        <f>+R29-R30</f>
        <v>0</v>
      </c>
      <c r="S31" s="308">
        <f>+S29-S30</f>
        <v>-2</v>
      </c>
      <c r="U31" s="304"/>
      <c r="V31" s="52"/>
    </row>
    <row r="32" spans="1:24">
      <c r="V32" s="52"/>
    </row>
    <row r="33" spans="2:22">
      <c r="B33" s="75" t="s">
        <v>150</v>
      </c>
      <c r="V33" s="61"/>
    </row>
  </sheetData>
  <pageMargins left="0.45" right="0.45" top="0.75" bottom="0.75" header="0.3" footer="0.3"/>
  <pageSetup paperSize="5" scale="58" fitToHeight="0" orientation="landscape" r:id="rId1"/>
  <headerFooter>
    <oddFooter>&amp;C&amp;11Page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Normal="100" workbookViewId="0">
      <selection activeCell="A21" sqref="A21"/>
    </sheetView>
  </sheetViews>
  <sheetFormatPr defaultColWidth="7.109375" defaultRowHeight="15"/>
  <cols>
    <col min="1" max="1" width="7.109375" style="231" customWidth="1"/>
    <col min="2" max="2" width="10.88671875" style="231" customWidth="1"/>
    <col min="3" max="3" width="9.88671875" style="231" customWidth="1"/>
    <col min="4" max="4" width="9.44140625" style="231" customWidth="1"/>
    <col min="5" max="5" width="7.109375" style="231" customWidth="1"/>
    <col min="6" max="6" width="9.44140625" style="231" customWidth="1"/>
    <col min="7" max="7" width="11.88671875" style="231" customWidth="1"/>
    <col min="8" max="9" width="9.44140625" style="231" customWidth="1"/>
    <col min="10" max="10" width="10.33203125" style="231" customWidth="1"/>
    <col min="11" max="11" width="10.88671875" style="231" customWidth="1"/>
    <col min="12" max="12" width="11.33203125" style="231" customWidth="1"/>
    <col min="13" max="13" width="10.88671875" style="231" customWidth="1"/>
    <col min="14" max="14" width="9.21875" style="231" bestFit="1" customWidth="1"/>
    <col min="15" max="15" width="7.21875" style="231" bestFit="1" customWidth="1"/>
    <col min="16" max="16384" width="7.109375" style="231"/>
  </cols>
  <sheetData>
    <row r="1" spans="1:15" ht="15.75" customHeight="1">
      <c r="A1" s="230" t="str">
        <f>+'2015 Svcs &amp; Admin Allocation'!A1</f>
        <v>Grant Award: 2015 Older Americans Act Allocation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5" ht="15.75" customHeight="1">
      <c r="A2" s="232" t="s">
        <v>227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5" ht="15.75" customHeight="1">
      <c r="A3" s="232" t="s">
        <v>275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5" ht="15.7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1:15" ht="15.75" thickBot="1"/>
    <row r="6" spans="1:15" s="239" customFormat="1" ht="7.5" customHeight="1">
      <c r="A6" s="234"/>
      <c r="B6" s="235"/>
      <c r="C6" s="234"/>
      <c r="D6" s="234"/>
      <c r="E6" s="234"/>
      <c r="F6" s="234"/>
      <c r="G6" s="234"/>
      <c r="H6" s="234"/>
      <c r="I6" s="234"/>
      <c r="J6" s="234"/>
      <c r="K6" s="236"/>
      <c r="L6" s="236"/>
      <c r="M6" s="237"/>
    </row>
    <row r="7" spans="1:15" s="239" customFormat="1">
      <c r="A7" s="240"/>
      <c r="B7" s="241" t="s">
        <v>118</v>
      </c>
      <c r="C7" s="240" t="s">
        <v>228</v>
      </c>
      <c r="D7" s="240"/>
      <c r="E7" s="240" t="s">
        <v>119</v>
      </c>
      <c r="F7" s="240"/>
      <c r="G7" s="240" t="s">
        <v>229</v>
      </c>
      <c r="H7" s="240"/>
      <c r="I7" s="240"/>
      <c r="J7" s="242">
        <f>J27</f>
        <v>2940156.8199999994</v>
      </c>
      <c r="K7" s="243" t="s">
        <v>1</v>
      </c>
      <c r="L7" s="243">
        <v>346998</v>
      </c>
      <c r="M7" s="244" t="s">
        <v>1</v>
      </c>
    </row>
    <row r="8" spans="1:15" s="239" customFormat="1">
      <c r="A8" s="240" t="s">
        <v>5</v>
      </c>
      <c r="B8" s="241" t="s">
        <v>120</v>
      </c>
      <c r="C8" s="240" t="s">
        <v>47</v>
      </c>
      <c r="D8" s="240" t="s">
        <v>121</v>
      </c>
      <c r="E8" s="240" t="s">
        <v>122</v>
      </c>
      <c r="F8" s="240" t="s">
        <v>123</v>
      </c>
      <c r="G8" s="240" t="s">
        <v>276</v>
      </c>
      <c r="H8" s="240" t="s">
        <v>123</v>
      </c>
      <c r="I8" s="240" t="s">
        <v>1</v>
      </c>
      <c r="J8" s="240" t="s">
        <v>124</v>
      </c>
      <c r="K8" s="245" t="s">
        <v>230</v>
      </c>
      <c r="L8" s="245" t="s">
        <v>231</v>
      </c>
      <c r="M8" s="246" t="s">
        <v>10</v>
      </c>
    </row>
    <row r="9" spans="1:15" s="239" customFormat="1">
      <c r="A9" s="240"/>
      <c r="B9" s="241" t="s">
        <v>125</v>
      </c>
      <c r="C9" s="240" t="s">
        <v>126</v>
      </c>
      <c r="D9" s="240" t="s">
        <v>127</v>
      </c>
      <c r="E9" s="240" t="s">
        <v>128</v>
      </c>
      <c r="F9" s="240" t="s">
        <v>127</v>
      </c>
      <c r="G9" s="240" t="s">
        <v>129</v>
      </c>
      <c r="H9" s="240" t="s">
        <v>127</v>
      </c>
      <c r="I9" s="240" t="s">
        <v>130</v>
      </c>
      <c r="J9" s="240" t="s">
        <v>131</v>
      </c>
      <c r="K9" s="245" t="s">
        <v>232</v>
      </c>
      <c r="L9" s="245" t="s">
        <v>232</v>
      </c>
      <c r="M9" s="246" t="s">
        <v>233</v>
      </c>
    </row>
    <row r="10" spans="1:15" s="239" customFormat="1" ht="7.5" customHeight="1" thickBot="1">
      <c r="A10" s="247"/>
      <c r="B10" s="248"/>
      <c r="C10" s="247"/>
      <c r="D10" s="247"/>
      <c r="E10" s="247"/>
      <c r="F10" s="247"/>
      <c r="G10" s="247"/>
      <c r="H10" s="247"/>
      <c r="I10" s="247"/>
      <c r="J10" s="247"/>
      <c r="K10" s="249"/>
      <c r="L10" s="249"/>
      <c r="M10" s="250"/>
    </row>
    <row r="11" spans="1:15" ht="24" customHeight="1">
      <c r="A11" s="251">
        <v>1</v>
      </c>
      <c r="B11" s="297">
        <f>IF(('2015 Svcs &amp; Admin Allocation'!X12*0.07)&lt;230000,230000,('2015 Svcs &amp; Admin Allocation'!X12*0.07))</f>
        <v>230000</v>
      </c>
      <c r="C11" s="252">
        <f>VLOOKUP(A11,'Pivot - Demographics'!$A$4:$F$15,2,0)</f>
        <v>150712</v>
      </c>
      <c r="D11" s="253">
        <f t="shared" ref="D11:D21" si="0">SUM(C11/$C$22*0.5)</f>
        <v>1.5800275261443855E-2</v>
      </c>
      <c r="E11" s="254">
        <v>4</v>
      </c>
      <c r="F11" s="253">
        <f t="shared" ref="F11:F21" si="1">SUM(E11/$E$22*0.25)</f>
        <v>1.4925373134328358E-2</v>
      </c>
      <c r="G11" s="289">
        <v>1438279</v>
      </c>
      <c r="H11" s="253">
        <f t="shared" ref="H11:H21" si="2">SUM(G11/$G$22*0.25)</f>
        <v>7.3735403222221114E-3</v>
      </c>
      <c r="I11" s="253">
        <f t="shared" ref="I11:I21" si="3">D11+F11+H11</f>
        <v>3.8099188717994323E-2</v>
      </c>
      <c r="J11" s="289">
        <f>ROUND(I11*$J$7,0)-0.23</f>
        <v>112017.77</v>
      </c>
      <c r="K11" s="291">
        <f>ROUND(+B11+J11,0)-2</f>
        <v>342016</v>
      </c>
      <c r="L11" s="291">
        <f>ROUND($L$7*K11/$K$22,0)-1</f>
        <v>14871</v>
      </c>
      <c r="M11" s="292">
        <f>+K11+L11</f>
        <v>356887</v>
      </c>
      <c r="N11" s="239"/>
      <c r="O11" s="239"/>
    </row>
    <row r="12" spans="1:15" ht="24" customHeight="1">
      <c r="A12" s="251">
        <v>2</v>
      </c>
      <c r="B12" s="298">
        <f>IF(('2015 Svcs &amp; Admin Allocation'!X13*0.07)&lt;230000,230000,('2015 Svcs &amp; Admin Allocation'!X13*0.07))</f>
        <v>230000</v>
      </c>
      <c r="C12" s="252">
        <f>VLOOKUP(A12,'Pivot - Demographics'!$A$4:$F$15,2,0)</f>
        <v>146758</v>
      </c>
      <c r="D12" s="253">
        <f t="shared" si="0"/>
        <v>1.5385747630042581E-2</v>
      </c>
      <c r="E12" s="254">
        <v>14</v>
      </c>
      <c r="F12" s="253">
        <f t="shared" si="1"/>
        <v>5.2238805970149252E-2</v>
      </c>
      <c r="G12" s="289">
        <v>1726502</v>
      </c>
      <c r="H12" s="253">
        <f t="shared" si="2"/>
        <v>8.8511562175329819E-3</v>
      </c>
      <c r="I12" s="253">
        <f t="shared" si="3"/>
        <v>7.6475709817724807E-2</v>
      </c>
      <c r="J12" s="289">
        <f t="shared" ref="J12:J21" si="4">ROUND(I12*$J$7,0)</f>
        <v>224851</v>
      </c>
      <c r="K12" s="291">
        <f t="shared" ref="K12:K20" si="5">ROUND(+B12+J12,0)</f>
        <v>454851</v>
      </c>
      <c r="L12" s="291">
        <f>ROUND($L$7*K12/$K$22,0)</f>
        <v>19778</v>
      </c>
      <c r="M12" s="292">
        <f t="shared" ref="M12:M21" si="6">+K12+L12</f>
        <v>474629</v>
      </c>
      <c r="N12" s="239"/>
      <c r="O12" s="239"/>
    </row>
    <row r="13" spans="1:15" ht="24" customHeight="1">
      <c r="A13" s="251">
        <v>3</v>
      </c>
      <c r="B13" s="298">
        <f>IF(('2015 Svcs &amp; Admin Allocation'!X14*0.07)&lt;230000,230000,('2015 Svcs &amp; Admin Allocation'!X14*0.07))</f>
        <v>483608.72000000003</v>
      </c>
      <c r="C13" s="252">
        <f>VLOOKUP(A13,'Pivot - Demographics'!$A$4:$F$15,2,0)</f>
        <v>518121</v>
      </c>
      <c r="D13" s="253">
        <f t="shared" si="0"/>
        <v>5.4318530831881685E-2</v>
      </c>
      <c r="E13" s="254">
        <v>16</v>
      </c>
      <c r="F13" s="253">
        <f t="shared" si="1"/>
        <v>5.9701492537313432E-2</v>
      </c>
      <c r="G13" s="289">
        <v>4362205</v>
      </c>
      <c r="H13" s="253">
        <f t="shared" si="2"/>
        <v>2.236345970517466E-2</v>
      </c>
      <c r="I13" s="253">
        <f t="shared" si="3"/>
        <v>0.13638348307436979</v>
      </c>
      <c r="J13" s="289">
        <f t="shared" si="4"/>
        <v>400989</v>
      </c>
      <c r="K13" s="291">
        <f t="shared" si="5"/>
        <v>884598</v>
      </c>
      <c r="L13" s="291">
        <f t="shared" ref="L13:L21" si="7">ROUND($L$7*K13/$K$22,0)</f>
        <v>38465</v>
      </c>
      <c r="M13" s="292">
        <f t="shared" si="6"/>
        <v>923063</v>
      </c>
      <c r="N13" s="239"/>
      <c r="O13" s="239"/>
    </row>
    <row r="14" spans="1:15" ht="24" customHeight="1">
      <c r="A14" s="251">
        <v>4</v>
      </c>
      <c r="B14" s="298">
        <f>IF(('2015 Svcs &amp; Admin Allocation'!X15*0.07)&lt;230000,230000,('2015 Svcs &amp; Admin Allocation'!X15*0.07))</f>
        <v>431144.07000000007</v>
      </c>
      <c r="C14" s="252">
        <f>VLOOKUP(A14,'Pivot - Demographics'!$A$4:$F$15,2,0)</f>
        <v>453206</v>
      </c>
      <c r="D14" s="253">
        <f t="shared" si="0"/>
        <v>4.7513001951655635E-2</v>
      </c>
      <c r="E14" s="254">
        <v>7</v>
      </c>
      <c r="F14" s="253">
        <f t="shared" si="1"/>
        <v>2.6119402985074626E-2</v>
      </c>
      <c r="G14" s="289">
        <v>4713974</v>
      </c>
      <c r="H14" s="253">
        <f t="shared" si="2"/>
        <v>2.4166853139694491E-2</v>
      </c>
      <c r="I14" s="253">
        <f t="shared" si="3"/>
        <v>9.7799258076424755E-2</v>
      </c>
      <c r="J14" s="289">
        <f t="shared" si="4"/>
        <v>287545</v>
      </c>
      <c r="K14" s="291">
        <f t="shared" si="5"/>
        <v>718689</v>
      </c>
      <c r="L14" s="291">
        <f t="shared" si="7"/>
        <v>31251</v>
      </c>
      <c r="M14" s="292">
        <f t="shared" si="6"/>
        <v>749940</v>
      </c>
      <c r="N14" s="239"/>
      <c r="O14" s="239"/>
    </row>
    <row r="15" spans="1:15" ht="24" customHeight="1">
      <c r="A15" s="251">
        <v>5</v>
      </c>
      <c r="B15" s="298">
        <f>IF(('2015 Svcs &amp; Admin Allocation'!X16*0.07)&lt;230000,230000,('2015 Svcs &amp; Admin Allocation'!X16*0.07))</f>
        <v>396894.68000000005</v>
      </c>
      <c r="C15" s="252">
        <f>VLOOKUP(A15,'Pivot - Demographics'!$A$4:$F$15,2,0)</f>
        <v>413165</v>
      </c>
      <c r="D15" s="253">
        <f t="shared" si="0"/>
        <v>4.3315202030325725E-2</v>
      </c>
      <c r="E15" s="254">
        <v>2</v>
      </c>
      <c r="F15" s="253">
        <f t="shared" si="1"/>
        <v>7.462686567164179E-3</v>
      </c>
      <c r="G15" s="289">
        <v>6206458</v>
      </c>
      <c r="H15" s="253">
        <f t="shared" si="2"/>
        <v>3.1818283046041833E-2</v>
      </c>
      <c r="I15" s="253">
        <f t="shared" si="3"/>
        <v>8.2596171643531738E-2</v>
      </c>
      <c r="J15" s="289">
        <f t="shared" si="4"/>
        <v>242846</v>
      </c>
      <c r="K15" s="291">
        <f t="shared" si="5"/>
        <v>639741</v>
      </c>
      <c r="L15" s="291">
        <f t="shared" si="7"/>
        <v>27818</v>
      </c>
      <c r="M15" s="292">
        <f t="shared" si="6"/>
        <v>667559</v>
      </c>
      <c r="N15" s="239"/>
      <c r="O15" s="239"/>
    </row>
    <row r="16" spans="1:15" ht="22.5" customHeight="1">
      <c r="A16" s="251">
        <v>6</v>
      </c>
      <c r="B16" s="298">
        <f>IF(('2015 Svcs &amp; Admin Allocation'!X17*0.07)&lt;230000,230000,('2015 Svcs &amp; Admin Allocation'!X17*0.07))</f>
        <v>555001.37</v>
      </c>
      <c r="C16" s="252">
        <f>VLOOKUP(A16,'Pivot - Demographics'!$A$4:$F$15,2,0)</f>
        <v>540035</v>
      </c>
      <c r="D16" s="253">
        <f t="shared" si="0"/>
        <v>5.6615940673694416E-2</v>
      </c>
      <c r="E16" s="254">
        <v>5</v>
      </c>
      <c r="F16" s="253">
        <f t="shared" si="1"/>
        <v>1.8656716417910446E-2</v>
      </c>
      <c r="G16" s="289">
        <v>5021161</v>
      </c>
      <c r="H16" s="253">
        <f t="shared" si="2"/>
        <v>2.5741690657980196E-2</v>
      </c>
      <c r="I16" s="253">
        <f t="shared" si="3"/>
        <v>0.10101434774958505</v>
      </c>
      <c r="J16" s="289">
        <f t="shared" si="4"/>
        <v>296998</v>
      </c>
      <c r="K16" s="291">
        <f t="shared" si="5"/>
        <v>851999</v>
      </c>
      <c r="L16" s="291">
        <f t="shared" si="7"/>
        <v>37047</v>
      </c>
      <c r="M16" s="292">
        <f t="shared" si="6"/>
        <v>889046</v>
      </c>
      <c r="N16" s="239"/>
      <c r="O16" s="239"/>
    </row>
    <row r="17" spans="1:15" ht="24" customHeight="1">
      <c r="A17" s="251">
        <v>7</v>
      </c>
      <c r="B17" s="298">
        <f>IF(('2015 Svcs &amp; Admin Allocation'!X18*0.07)&lt;230000,230000,('2015 Svcs &amp; Admin Allocation'!X18*0.07))</f>
        <v>417062.59</v>
      </c>
      <c r="C17" s="252">
        <f>VLOOKUP(A17,'Pivot - Demographics'!$A$4:$F$15,2,0)</f>
        <v>476426</v>
      </c>
      <c r="D17" s="253">
        <f t="shared" si="0"/>
        <v>4.9947329620127469E-2</v>
      </c>
      <c r="E17" s="254">
        <v>4</v>
      </c>
      <c r="F17" s="253">
        <f t="shared" si="1"/>
        <v>1.4925373134328358E-2</v>
      </c>
      <c r="G17" s="289">
        <v>4001675</v>
      </c>
      <c r="H17" s="253">
        <f t="shared" si="2"/>
        <v>2.0515151767444402E-2</v>
      </c>
      <c r="I17" s="253">
        <f t="shared" si="3"/>
        <v>8.5387854521900231E-2</v>
      </c>
      <c r="J17" s="289">
        <f t="shared" si="4"/>
        <v>251054</v>
      </c>
      <c r="K17" s="291">
        <f t="shared" si="5"/>
        <v>668117</v>
      </c>
      <c r="L17" s="291">
        <f t="shared" si="7"/>
        <v>29052</v>
      </c>
      <c r="M17" s="292">
        <f t="shared" si="6"/>
        <v>697169</v>
      </c>
      <c r="N17" s="239"/>
      <c r="O17" s="239"/>
    </row>
    <row r="18" spans="1:15" ht="24" customHeight="1">
      <c r="A18" s="251">
        <v>8</v>
      </c>
      <c r="B18" s="298">
        <f>IF(('2015 Svcs &amp; Admin Allocation'!X19*0.07)&lt;230000,230000,('2015 Svcs &amp; Admin Allocation'!X19*0.07))</f>
        <v>425038.95</v>
      </c>
      <c r="C18" s="252">
        <f>VLOOKUP(A18,'Pivot - Demographics'!$A$4:$F$15,2,0)</f>
        <v>567258</v>
      </c>
      <c r="D18" s="253">
        <f t="shared" si="0"/>
        <v>5.9469933013005724E-2</v>
      </c>
      <c r="E18" s="254">
        <v>7</v>
      </c>
      <c r="F18" s="253">
        <f t="shared" si="1"/>
        <v>2.6119402985074626E-2</v>
      </c>
      <c r="G18" s="289">
        <v>4475989</v>
      </c>
      <c r="H18" s="253">
        <f t="shared" si="2"/>
        <v>2.2946789443023658E-2</v>
      </c>
      <c r="I18" s="253">
        <f t="shared" si="3"/>
        <v>0.10853612544110401</v>
      </c>
      <c r="J18" s="289">
        <f t="shared" si="4"/>
        <v>319113</v>
      </c>
      <c r="K18" s="291">
        <f t="shared" si="5"/>
        <v>744152</v>
      </c>
      <c r="L18" s="291">
        <f t="shared" si="7"/>
        <v>32358</v>
      </c>
      <c r="M18" s="292">
        <f t="shared" si="6"/>
        <v>776510</v>
      </c>
      <c r="N18" s="239"/>
      <c r="O18" s="239"/>
    </row>
    <row r="19" spans="1:15" ht="24" customHeight="1">
      <c r="A19" s="251">
        <v>9</v>
      </c>
      <c r="B19" s="298">
        <f>IF(('2015 Svcs &amp; Admin Allocation'!X20*0.07)&lt;230000,230000,('2015 Svcs &amp; Admin Allocation'!X20*0.07))</f>
        <v>507489.78</v>
      </c>
      <c r="C19" s="252">
        <f>VLOOKUP(A19,'Pivot - Demographics'!$A$4:$F$15,2,0)</f>
        <v>575385</v>
      </c>
      <c r="D19" s="253">
        <f t="shared" si="0"/>
        <v>6.0321947696970864E-2</v>
      </c>
      <c r="E19" s="254">
        <v>5</v>
      </c>
      <c r="F19" s="253">
        <f t="shared" si="1"/>
        <v>1.8656716417910446E-2</v>
      </c>
      <c r="G19" s="289">
        <v>4431347</v>
      </c>
      <c r="H19" s="253">
        <f t="shared" si="2"/>
        <v>2.2717925928319876E-2</v>
      </c>
      <c r="I19" s="253">
        <f t="shared" si="3"/>
        <v>0.10169659004320118</v>
      </c>
      <c r="J19" s="289">
        <f t="shared" si="4"/>
        <v>299004</v>
      </c>
      <c r="K19" s="291">
        <f t="shared" si="5"/>
        <v>806494</v>
      </c>
      <c r="L19" s="291">
        <f t="shared" si="7"/>
        <v>35069</v>
      </c>
      <c r="M19" s="292">
        <f t="shared" si="6"/>
        <v>841563</v>
      </c>
      <c r="N19" s="239"/>
      <c r="O19" s="239"/>
    </row>
    <row r="20" spans="1:15" ht="24" customHeight="1">
      <c r="A20" s="251">
        <v>10</v>
      </c>
      <c r="B20" s="298">
        <f>IF(('2015 Svcs &amp; Admin Allocation'!X21*0.07)&lt;230000,230000,('2015 Svcs &amp; Admin Allocation'!X21*0.07))</f>
        <v>421387.12000000005</v>
      </c>
      <c r="C20" s="252">
        <f>VLOOKUP(A20,'Pivot - Demographics'!$A$4:$F$15,2,0)</f>
        <v>383293</v>
      </c>
      <c r="D20" s="253">
        <f t="shared" si="0"/>
        <v>4.0183495048732684E-2</v>
      </c>
      <c r="E20" s="254">
        <v>1</v>
      </c>
      <c r="F20" s="253">
        <f t="shared" si="1"/>
        <v>3.7313432835820895E-3</v>
      </c>
      <c r="G20" s="289">
        <v>5890647</v>
      </c>
      <c r="H20" s="253">
        <f t="shared" si="2"/>
        <v>3.0199233374384741E-2</v>
      </c>
      <c r="I20" s="253">
        <f t="shared" si="3"/>
        <v>7.4114071706699508E-2</v>
      </c>
      <c r="J20" s="289">
        <f t="shared" si="4"/>
        <v>217907</v>
      </c>
      <c r="K20" s="291">
        <f t="shared" si="5"/>
        <v>639294</v>
      </c>
      <c r="L20" s="291">
        <f t="shared" si="7"/>
        <v>27798</v>
      </c>
      <c r="M20" s="292">
        <f t="shared" si="6"/>
        <v>667092</v>
      </c>
      <c r="N20" s="239"/>
      <c r="O20" s="239"/>
    </row>
    <row r="21" spans="1:15" ht="24" customHeight="1">
      <c r="A21" s="251">
        <v>11</v>
      </c>
      <c r="B21" s="298">
        <f>IF(('2015 Svcs &amp; Admin Allocation'!X22*0.07)&lt;230000,230000,('2015 Svcs &amp; Admin Allocation'!X22*0.07))</f>
        <v>967341.90000000014</v>
      </c>
      <c r="C21" s="252">
        <f>VLOOKUP(A21,'Pivot - Demographics'!$A$4:$F$15,2,0)</f>
        <v>544925</v>
      </c>
      <c r="D21" s="253">
        <f t="shared" si="0"/>
        <v>5.7128596242119363E-2</v>
      </c>
      <c r="E21" s="254">
        <v>2</v>
      </c>
      <c r="F21" s="253">
        <f t="shared" si="1"/>
        <v>7.462686567164179E-3</v>
      </c>
      <c r="G21" s="289">
        <v>6496635</v>
      </c>
      <c r="H21" s="253">
        <f t="shared" si="2"/>
        <v>3.3305916398181049E-2</v>
      </c>
      <c r="I21" s="253">
        <f t="shared" si="3"/>
        <v>9.7897199207464591E-2</v>
      </c>
      <c r="J21" s="289">
        <f t="shared" si="4"/>
        <v>287833</v>
      </c>
      <c r="K21" s="291">
        <f>ROUND(+B21+J21,0)-25000</f>
        <v>1230175</v>
      </c>
      <c r="L21" s="291">
        <f t="shared" si="7"/>
        <v>53491</v>
      </c>
      <c r="M21" s="292">
        <f t="shared" si="6"/>
        <v>1283666</v>
      </c>
      <c r="N21" s="239"/>
      <c r="O21" s="239"/>
    </row>
    <row r="22" spans="1:15" s="239" customFormat="1" ht="27" customHeight="1" thickBot="1">
      <c r="A22" s="255" t="s">
        <v>1</v>
      </c>
      <c r="B22" s="288">
        <f t="shared" ref="B22:I22" si="8">SUM(B11:B21)</f>
        <v>5064969.1800000006</v>
      </c>
      <c r="C22" s="256">
        <f t="shared" si="8"/>
        <v>4769284</v>
      </c>
      <c r="D22" s="257">
        <f t="shared" si="8"/>
        <v>0.50000000000000011</v>
      </c>
      <c r="E22" s="255">
        <f t="shared" si="8"/>
        <v>67</v>
      </c>
      <c r="F22" s="257">
        <f t="shared" si="8"/>
        <v>0.24999999999999997</v>
      </c>
      <c r="G22" s="290">
        <f t="shared" si="8"/>
        <v>48764872</v>
      </c>
      <c r="H22" s="257">
        <f t="shared" si="8"/>
        <v>0.25</v>
      </c>
      <c r="I22" s="257">
        <f t="shared" si="8"/>
        <v>1</v>
      </c>
      <c r="J22" s="290">
        <f>SUM(J11:J21)</f>
        <v>2940157.77</v>
      </c>
      <c r="K22" s="293">
        <f>SUM(K11:K21)</f>
        <v>7980126</v>
      </c>
      <c r="L22" s="293">
        <f>SUM(L11:L21)</f>
        <v>346998</v>
      </c>
      <c r="M22" s="294">
        <f>SUM(M11:M21)</f>
        <v>8327124</v>
      </c>
    </row>
    <row r="23" spans="1:15" s="239" customFormat="1">
      <c r="A23" s="238"/>
      <c r="B23" s="258"/>
      <c r="C23" s="259"/>
      <c r="D23" s="260"/>
      <c r="F23" s="260"/>
      <c r="G23" s="258"/>
      <c r="H23" s="260"/>
      <c r="I23" s="260"/>
      <c r="J23" s="295"/>
      <c r="K23" s="296"/>
      <c r="L23" s="296"/>
      <c r="M23" s="296"/>
    </row>
    <row r="24" spans="1:15" s="239" customFormat="1">
      <c r="A24" s="238"/>
      <c r="B24" s="258"/>
      <c r="C24" s="259"/>
      <c r="D24" s="260"/>
      <c r="F24" s="260"/>
      <c r="G24" s="258"/>
      <c r="H24" s="260"/>
      <c r="I24" s="260"/>
      <c r="J24" s="258"/>
      <c r="K24" s="261"/>
      <c r="L24" s="261"/>
      <c r="M24" s="261"/>
    </row>
    <row r="25" spans="1:15" s="239" customFormat="1">
      <c r="A25" s="262" t="s">
        <v>136</v>
      </c>
      <c r="B25" s="231"/>
      <c r="C25" s="231"/>
      <c r="D25" s="231"/>
      <c r="E25" s="231"/>
      <c r="F25" s="231"/>
      <c r="G25" s="258"/>
      <c r="I25" s="263" t="s">
        <v>274</v>
      </c>
      <c r="J25" s="264">
        <f>+'2015 Award #2'!B23</f>
        <v>8005126</v>
      </c>
      <c r="K25" s="265">
        <f>+J25</f>
        <v>8005126</v>
      </c>
      <c r="L25" s="265">
        <f>+L7</f>
        <v>346998</v>
      </c>
      <c r="M25" s="265">
        <f>+K25+L25</f>
        <v>8352124</v>
      </c>
    </row>
    <row r="26" spans="1:15">
      <c r="A26" s="262" t="s">
        <v>132</v>
      </c>
      <c r="B26" s="231" t="s">
        <v>277</v>
      </c>
      <c r="I26" s="231" t="s">
        <v>234</v>
      </c>
      <c r="J26" s="266">
        <f>+B22</f>
        <v>5064969.1800000006</v>
      </c>
      <c r="K26" s="266">
        <f>+K22</f>
        <v>7980126</v>
      </c>
      <c r="L26" s="266">
        <f>+L22</f>
        <v>346998</v>
      </c>
      <c r="M26" s="266">
        <f>+M22</f>
        <v>8327124</v>
      </c>
    </row>
    <row r="27" spans="1:15">
      <c r="A27" s="262" t="s">
        <v>133</v>
      </c>
      <c r="B27" s="231" t="s">
        <v>134</v>
      </c>
      <c r="I27" s="231" t="s">
        <v>30</v>
      </c>
      <c r="J27" s="264">
        <f>+J25-J26</f>
        <v>2940156.8199999994</v>
      </c>
      <c r="K27" s="264">
        <f>+K25-K26</f>
        <v>25000</v>
      </c>
      <c r="L27" s="264">
        <f>+L25-L26</f>
        <v>0</v>
      </c>
      <c r="M27" s="264">
        <f>+M25-M26</f>
        <v>25000</v>
      </c>
    </row>
    <row r="28" spans="1:15">
      <c r="J28" s="267"/>
      <c r="K28" s="267"/>
      <c r="L28" s="267"/>
      <c r="M28" s="267"/>
    </row>
    <row r="29" spans="1:15">
      <c r="K29" s="267"/>
      <c r="L29" s="267"/>
      <c r="M29" s="267"/>
    </row>
    <row r="30" spans="1:15">
      <c r="A30" s="239"/>
    </row>
  </sheetData>
  <pageMargins left="0.45" right="0.45" top="0.75" bottom="0.75" header="0.3" footer="0.3"/>
  <pageSetup paperSize="5" fitToHeight="0" orientation="landscape" r:id="rId1"/>
  <headerFooter>
    <oddFooter>&amp;C&amp;11Page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BH38"/>
  <sheetViews>
    <sheetView zoomScaleNormal="100" workbookViewId="0">
      <selection activeCell="F14" sqref="F14"/>
    </sheetView>
  </sheetViews>
  <sheetFormatPr defaultRowHeight="15" outlineLevelCol="1"/>
  <cols>
    <col min="1" max="1" width="8.88671875" style="6"/>
    <col min="2" max="2" width="14.33203125" style="6" customWidth="1"/>
    <col min="3" max="3" width="10.77734375" style="6" bestFit="1" customWidth="1"/>
    <col min="4" max="5" width="10.33203125" style="6" bestFit="1" customWidth="1"/>
    <col min="6" max="8" width="10.33203125" style="6" customWidth="1"/>
    <col min="9" max="9" width="7.88671875" style="6" hidden="1" customWidth="1" outlineLevel="1"/>
    <col min="10" max="12" width="9.109375" style="6" hidden="1" customWidth="1" outlineLevel="1"/>
    <col min="13" max="14" width="10.33203125" style="6" hidden="1" customWidth="1" outlineLevel="1"/>
    <col min="15" max="15" width="4.88671875" style="6" hidden="1" customWidth="1" outlineLevel="1"/>
    <col min="16" max="16" width="7.88671875" style="6" hidden="1" customWidth="1" outlineLevel="1"/>
    <col min="17" max="19" width="9.109375" style="6" hidden="1" customWidth="1" outlineLevel="1"/>
    <col min="20" max="21" width="10.33203125" style="6" hidden="1" customWidth="1" outlineLevel="1"/>
    <col min="22" max="22" width="4.88671875" style="6" hidden="1" customWidth="1" outlineLevel="1"/>
    <col min="23" max="23" width="7.88671875" style="6" hidden="1" customWidth="1" outlineLevel="1"/>
    <col min="24" max="26" width="9.109375" style="6" hidden="1" customWidth="1" outlineLevel="1"/>
    <col min="27" max="28" width="10.33203125" style="6" hidden="1" customWidth="1" outlineLevel="1"/>
    <col min="29" max="29" width="4.88671875" style="6" hidden="1" customWidth="1" outlineLevel="1"/>
    <col min="30" max="30" width="7.88671875" style="6" hidden="1" customWidth="1" outlineLevel="1"/>
    <col min="31" max="33" width="9.109375" style="6" hidden="1" customWidth="1" outlineLevel="1"/>
    <col min="34" max="35" width="10.33203125" style="6" hidden="1" customWidth="1" outlineLevel="1"/>
    <col min="36" max="36" width="4.88671875" style="6" hidden="1" customWidth="1" outlineLevel="1"/>
    <col min="37" max="37" width="7.88671875" style="6" hidden="1" customWidth="1" outlineLevel="1"/>
    <col min="38" max="40" width="9.109375" style="6" hidden="1" customWidth="1" outlineLevel="1"/>
    <col min="41" max="42" width="10.33203125" style="6" hidden="1" customWidth="1" outlineLevel="1"/>
    <col min="43" max="43" width="4.88671875" style="6" hidden="1" customWidth="1" outlineLevel="1"/>
    <col min="44" max="44" width="7.6640625" style="6" hidden="1" customWidth="1" outlineLevel="1"/>
    <col min="45" max="47" width="9.109375" style="6" hidden="1" customWidth="1" outlineLevel="1"/>
    <col min="48" max="49" width="10.33203125" style="6" hidden="1" customWidth="1" outlineLevel="1"/>
    <col min="50" max="50" width="10.6640625" style="6" hidden="1" customWidth="1" outlineLevel="1"/>
    <col min="51" max="52" width="11.21875" style="6" hidden="1" customWidth="1" outlineLevel="1"/>
    <col min="53" max="53" width="9" style="6" hidden="1" customWidth="1" outlineLevel="1"/>
    <col min="54" max="54" width="11.21875" style="6" hidden="1" customWidth="1" outlineLevel="1" collapsed="1"/>
    <col min="55" max="56" width="11.21875" style="6" hidden="1" customWidth="1" outlineLevel="1"/>
    <col min="57" max="57" width="1.77734375" style="315" customWidth="1" collapsed="1"/>
    <col min="58" max="58" width="11.21875" style="6" hidden="1" customWidth="1"/>
    <col min="59" max="59" width="9" style="6" hidden="1" customWidth="1"/>
    <col min="60" max="60" width="10.33203125" style="6" hidden="1" customWidth="1"/>
    <col min="61" max="16384" width="8.88671875" style="6"/>
  </cols>
  <sheetData>
    <row r="1" spans="1:60" s="315" customFormat="1" ht="18.75">
      <c r="A1" s="105" t="s">
        <v>266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W1" s="105"/>
      <c r="X1" s="105"/>
      <c r="Y1" s="105"/>
      <c r="Z1" s="105"/>
      <c r="AA1" s="105"/>
      <c r="AB1" s="105"/>
      <c r="AD1" s="105"/>
      <c r="AE1" s="105"/>
      <c r="AF1" s="105"/>
      <c r="AG1" s="105"/>
      <c r="AH1" s="105"/>
      <c r="AI1" s="105"/>
      <c r="AK1" s="105"/>
      <c r="AL1" s="105"/>
      <c r="AM1" s="105"/>
      <c r="AN1" s="105"/>
      <c r="AO1" s="105"/>
      <c r="AP1" s="105"/>
    </row>
    <row r="2" spans="1:60" s="315" customFormat="1">
      <c r="A2" s="106" t="s">
        <v>151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W2" s="106"/>
      <c r="X2" s="106"/>
      <c r="Y2" s="106"/>
      <c r="Z2" s="106"/>
      <c r="AA2" s="106"/>
      <c r="AB2" s="106"/>
      <c r="AD2" s="106"/>
      <c r="AE2" s="106"/>
      <c r="AF2" s="106"/>
      <c r="AG2" s="106"/>
      <c r="AH2" s="106"/>
      <c r="AI2" s="106"/>
      <c r="AK2" s="106"/>
      <c r="AL2" s="106"/>
      <c r="AM2" s="106"/>
      <c r="AN2" s="106"/>
      <c r="AO2" s="106"/>
      <c r="AP2" s="106"/>
    </row>
    <row r="3" spans="1:60" s="315" customFormat="1">
      <c r="A3" s="106" t="s">
        <v>275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W3" s="106"/>
      <c r="X3" s="106"/>
      <c r="Y3" s="106"/>
      <c r="Z3" s="106"/>
      <c r="AA3" s="106"/>
      <c r="AB3" s="106"/>
      <c r="AD3" s="106"/>
      <c r="AE3" s="106"/>
      <c r="AF3" s="106"/>
      <c r="AG3" s="106"/>
      <c r="AH3" s="106"/>
      <c r="AI3" s="106"/>
      <c r="AK3" s="106"/>
      <c r="AL3" s="106"/>
      <c r="AM3" s="106"/>
      <c r="AN3" s="106"/>
      <c r="AO3" s="106"/>
      <c r="AP3" s="106"/>
    </row>
    <row r="5" spans="1:60" ht="15.75" thickBot="1"/>
    <row r="6" spans="1:60" s="320" customFormat="1" ht="26.25" customHeight="1">
      <c r="A6" s="316"/>
      <c r="B6" s="317" t="s">
        <v>251</v>
      </c>
      <c r="C6" s="383" t="s">
        <v>276</v>
      </c>
      <c r="D6" s="384"/>
      <c r="E6" s="384"/>
      <c r="F6" s="383" t="s">
        <v>152</v>
      </c>
      <c r="G6" s="384"/>
      <c r="H6" s="385"/>
      <c r="I6" s="386" t="s">
        <v>153</v>
      </c>
      <c r="J6" s="387"/>
      <c r="K6" s="387"/>
      <c r="L6" s="387"/>
      <c r="M6" s="387"/>
      <c r="N6" s="388"/>
      <c r="O6" s="389"/>
      <c r="P6" s="390" t="s">
        <v>154</v>
      </c>
      <c r="Q6" s="387"/>
      <c r="R6" s="387"/>
      <c r="S6" s="387"/>
      <c r="T6" s="387"/>
      <c r="U6" s="388"/>
      <c r="V6" s="389"/>
      <c r="W6" s="390" t="s">
        <v>155</v>
      </c>
      <c r="X6" s="387"/>
      <c r="Y6" s="387"/>
      <c r="Z6" s="387"/>
      <c r="AA6" s="387"/>
      <c r="AB6" s="388"/>
      <c r="AC6" s="389"/>
      <c r="AD6" s="390" t="s">
        <v>156</v>
      </c>
      <c r="AE6" s="387"/>
      <c r="AF6" s="387"/>
      <c r="AG6" s="387"/>
      <c r="AH6" s="387"/>
      <c r="AI6" s="388"/>
      <c r="AJ6" s="389"/>
      <c r="AK6" s="390" t="s">
        <v>157</v>
      </c>
      <c r="AL6" s="387"/>
      <c r="AM6" s="387"/>
      <c r="AN6" s="387"/>
      <c r="AO6" s="387"/>
      <c r="AP6" s="388"/>
      <c r="AQ6" s="389"/>
      <c r="AR6" s="390" t="s">
        <v>158</v>
      </c>
      <c r="AS6" s="387"/>
      <c r="AT6" s="387"/>
      <c r="AU6" s="387"/>
      <c r="AV6" s="387"/>
      <c r="AW6" s="388"/>
      <c r="AX6" s="389"/>
      <c r="AY6" s="391" t="s">
        <v>159</v>
      </c>
      <c r="AZ6" s="392"/>
      <c r="BA6" s="392"/>
      <c r="BB6" s="383">
        <v>2012</v>
      </c>
      <c r="BC6" s="393"/>
      <c r="BD6" s="394"/>
      <c r="BE6" s="318"/>
      <c r="BF6" s="319"/>
    </row>
    <row r="7" spans="1:60" ht="55.5" customHeight="1">
      <c r="A7" s="321" t="s">
        <v>5</v>
      </c>
      <c r="B7" s="322" t="s">
        <v>160</v>
      </c>
      <c r="C7" s="323" t="s">
        <v>193</v>
      </c>
      <c r="D7" s="324" t="s">
        <v>161</v>
      </c>
      <c r="E7" s="325" t="s">
        <v>162</v>
      </c>
      <c r="F7" s="326" t="s">
        <v>163</v>
      </c>
      <c r="G7" s="327" t="s">
        <v>164</v>
      </c>
      <c r="H7" s="328" t="s">
        <v>165</v>
      </c>
      <c r="I7" s="329" t="s">
        <v>166</v>
      </c>
      <c r="J7" s="327" t="s">
        <v>167</v>
      </c>
      <c r="K7" s="327" t="s">
        <v>168</v>
      </c>
      <c r="L7" s="327" t="s">
        <v>169</v>
      </c>
      <c r="M7" s="327" t="s">
        <v>170</v>
      </c>
      <c r="N7" s="325" t="s">
        <v>171</v>
      </c>
      <c r="O7" s="330" t="s">
        <v>172</v>
      </c>
      <c r="P7" s="331" t="s">
        <v>166</v>
      </c>
      <c r="Q7" s="327" t="s">
        <v>167</v>
      </c>
      <c r="R7" s="327" t="s">
        <v>168</v>
      </c>
      <c r="S7" s="327" t="s">
        <v>169</v>
      </c>
      <c r="T7" s="327" t="s">
        <v>170</v>
      </c>
      <c r="U7" s="325" t="s">
        <v>171</v>
      </c>
      <c r="V7" s="330" t="s">
        <v>172</v>
      </c>
      <c r="W7" s="331" t="s">
        <v>166</v>
      </c>
      <c r="X7" s="327" t="s">
        <v>167</v>
      </c>
      <c r="Y7" s="327" t="s">
        <v>168</v>
      </c>
      <c r="Z7" s="327" t="s">
        <v>169</v>
      </c>
      <c r="AA7" s="327" t="s">
        <v>170</v>
      </c>
      <c r="AB7" s="325" t="s">
        <v>171</v>
      </c>
      <c r="AC7" s="330" t="s">
        <v>172</v>
      </c>
      <c r="AD7" s="331" t="s">
        <v>166</v>
      </c>
      <c r="AE7" s="327" t="s">
        <v>167</v>
      </c>
      <c r="AF7" s="327" t="s">
        <v>168</v>
      </c>
      <c r="AG7" s="327" t="s">
        <v>169</v>
      </c>
      <c r="AH7" s="327" t="s">
        <v>170</v>
      </c>
      <c r="AI7" s="325" t="s">
        <v>171</v>
      </c>
      <c r="AJ7" s="330" t="s">
        <v>172</v>
      </c>
      <c r="AK7" s="331" t="s">
        <v>166</v>
      </c>
      <c r="AL7" s="327" t="s">
        <v>167</v>
      </c>
      <c r="AM7" s="327" t="s">
        <v>168</v>
      </c>
      <c r="AN7" s="327" t="s">
        <v>169</v>
      </c>
      <c r="AO7" s="327" t="s">
        <v>170</v>
      </c>
      <c r="AP7" s="325" t="s">
        <v>171</v>
      </c>
      <c r="AQ7" s="330" t="s">
        <v>172</v>
      </c>
      <c r="AR7" s="331" t="s">
        <v>166</v>
      </c>
      <c r="AS7" s="327" t="s">
        <v>167</v>
      </c>
      <c r="AT7" s="327" t="s">
        <v>168</v>
      </c>
      <c r="AU7" s="327" t="s">
        <v>169</v>
      </c>
      <c r="AV7" s="327" t="s">
        <v>170</v>
      </c>
      <c r="AW7" s="325" t="s">
        <v>171</v>
      </c>
      <c r="AX7" s="325" t="s">
        <v>173</v>
      </c>
      <c r="AY7" s="331" t="s">
        <v>170</v>
      </c>
      <c r="AZ7" s="332" t="s">
        <v>165</v>
      </c>
      <c r="BA7" s="325" t="s">
        <v>174</v>
      </c>
      <c r="BB7" s="326" t="s">
        <v>260</v>
      </c>
      <c r="BC7" s="327" t="s">
        <v>261</v>
      </c>
      <c r="BD7" s="328" t="s">
        <v>1</v>
      </c>
      <c r="BE7" s="332"/>
      <c r="BF7" s="332" t="s">
        <v>30</v>
      </c>
      <c r="BG7" s="382" t="s">
        <v>180</v>
      </c>
      <c r="BH7" s="382"/>
    </row>
    <row r="8" spans="1:60" ht="18.75" customHeight="1">
      <c r="A8" s="321">
        <v>1</v>
      </c>
      <c r="B8" s="107">
        <v>86139</v>
      </c>
      <c r="C8" s="333">
        <f>VLOOKUP(A8,[1]Pivot!$A$4:$C$15,2,0)</f>
        <v>28765.346999999998</v>
      </c>
      <c r="D8" s="334">
        <f>VLOOKUP(A8,[1]Pivot!$A$4:$C$15,3,0)</f>
        <v>12739</v>
      </c>
      <c r="E8" s="108">
        <f>ROUND((0.5*(C8/C$19) + 0.5*(D8/D$19))*$C$23,0)-1</f>
        <v>41135</v>
      </c>
      <c r="F8" s="109">
        <f t="shared" ref="F8:F18" si="0">IF(B8&gt;E8,B8,E8)</f>
        <v>86139</v>
      </c>
      <c r="G8" s="335">
        <f>ROUND((+B8-(F8/$F$19)*($B$19-$C$23)),0)</f>
        <v>84225</v>
      </c>
      <c r="H8" s="110">
        <f>+G8-B8</f>
        <v>-1914</v>
      </c>
      <c r="I8" s="336">
        <f>IF(E8&lt;B8,1,0)</f>
        <v>1</v>
      </c>
      <c r="J8" s="337">
        <f t="shared" ref="J8:J18" si="1">E8*(1-I8)</f>
        <v>0</v>
      </c>
      <c r="K8" s="337">
        <f>IF(E8&lt;B8,$B8,0)</f>
        <v>86139</v>
      </c>
      <c r="L8" s="337">
        <f t="shared" ref="L8:L18" si="2">ROUND(IF(K8=0,-E8+((J8/J$19)*($C$24-K$19)),0),0)</f>
        <v>0</v>
      </c>
      <c r="M8" s="337">
        <f>SUM(J8:L8)</f>
        <v>86139</v>
      </c>
      <c r="N8" s="338">
        <f>+M8-$B8</f>
        <v>0</v>
      </c>
      <c r="O8" s="339">
        <f>IF(M8&lt;$B8,1,0)</f>
        <v>0</v>
      </c>
      <c r="P8" s="340">
        <f>O8+I8</f>
        <v>1</v>
      </c>
      <c r="Q8" s="337">
        <f>M8*(1-P8)</f>
        <v>0</v>
      </c>
      <c r="R8" s="337">
        <f>IF(P8=1,$B8,0)</f>
        <v>86139</v>
      </c>
      <c r="S8" s="337">
        <f t="shared" ref="S8:S18" si="3">ROUND(IF(R8=0,-M8+((Q8/Q$19)*($C$24-R$19)),0),0)</f>
        <v>0</v>
      </c>
      <c r="T8" s="337">
        <f>SUM(Q8:S8)</f>
        <v>86139</v>
      </c>
      <c r="U8" s="338">
        <f>+T8-$B8</f>
        <v>0</v>
      </c>
      <c r="V8" s="339">
        <f>IF(T8&lt;$B8,1,0)</f>
        <v>0</v>
      </c>
      <c r="W8" s="340">
        <f>V8+P8</f>
        <v>1</v>
      </c>
      <c r="X8" s="337">
        <f>T8*(1-W8)</f>
        <v>0</v>
      </c>
      <c r="Y8" s="337">
        <f>IF(W8=1,$B8,0)</f>
        <v>86139</v>
      </c>
      <c r="Z8" s="337">
        <f t="shared" ref="Z8:Z18" si="4">ROUND(IF(Y8=0,-T8+((X8/X$19)*($C$24-Y$19)),0),0)</f>
        <v>0</v>
      </c>
      <c r="AA8" s="337">
        <f>SUM(X8:Z8)</f>
        <v>86139</v>
      </c>
      <c r="AB8" s="338">
        <f>+AA8-$B8</f>
        <v>0</v>
      </c>
      <c r="AC8" s="339">
        <f>IF(AA8&lt;$B8,1,0)</f>
        <v>0</v>
      </c>
      <c r="AD8" s="340">
        <f>AC8+W8</f>
        <v>1</v>
      </c>
      <c r="AE8" s="337">
        <f>AA8*(1-AD8)</f>
        <v>0</v>
      </c>
      <c r="AF8" s="337">
        <f>IF(AD8=1,$B8,0)</f>
        <v>86139</v>
      </c>
      <c r="AG8" s="337">
        <f t="shared" ref="AG8:AG18" si="5">ROUND(IF(AF8=0,-AA8+((AE8/AE$19)*($C$24-AF$19)),0),0)</f>
        <v>0</v>
      </c>
      <c r="AH8" s="337">
        <f>SUM(AE8:AG8)</f>
        <v>86139</v>
      </c>
      <c r="AI8" s="338">
        <f>+AH8-$B8</f>
        <v>0</v>
      </c>
      <c r="AJ8" s="339">
        <f>IF(AH8&lt;$B8,1,0)</f>
        <v>0</v>
      </c>
      <c r="AK8" s="340">
        <f>AJ8+AD8</f>
        <v>1</v>
      </c>
      <c r="AL8" s="337">
        <f>AH8*(1-AK8)</f>
        <v>0</v>
      </c>
      <c r="AM8" s="337">
        <f>IF(AK8=1,$B8,0)</f>
        <v>86139</v>
      </c>
      <c r="AN8" s="337">
        <f t="shared" ref="AN8:AN18" si="6">ROUND(IF(AM8=0,-AH8+((AL8/AL$19)*($C$24-AM$19)),0),0)</f>
        <v>0</v>
      </c>
      <c r="AO8" s="337">
        <f>SUM(AL8:AN8)</f>
        <v>86139</v>
      </c>
      <c r="AP8" s="338">
        <f>+AO8-$B8</f>
        <v>0</v>
      </c>
      <c r="AQ8" s="339">
        <f>IF(AO8&lt;$B8,1,0)</f>
        <v>0</v>
      </c>
      <c r="AR8" s="340">
        <f>AQ8+AK8</f>
        <v>1</v>
      </c>
      <c r="AS8" s="337">
        <f>AO8*(1-AR8)</f>
        <v>0</v>
      </c>
      <c r="AT8" s="337">
        <f>IF(AR8=1,$B8,0)</f>
        <v>86139</v>
      </c>
      <c r="AU8" s="337">
        <f t="shared" ref="AU8:AU18" si="7">ROUND(IF(AT8=0,-AO8+((AS8/AS$19)*($C$24-AT$19)),0),0)</f>
        <v>0</v>
      </c>
      <c r="AV8" s="337">
        <f>SUM(AS8:AU8)</f>
        <v>86139</v>
      </c>
      <c r="AW8" s="338">
        <f>+AV8-$B8</f>
        <v>0</v>
      </c>
      <c r="AX8" s="338">
        <f>+AV8-AO8</f>
        <v>0</v>
      </c>
      <c r="AY8" s="341">
        <f>IF(AX8=0,(ROUND(B8-(ROUND((AV8/AV$19)*(B$19-$C$24),0)),0)),"NO")-1</f>
        <v>86138</v>
      </c>
      <c r="AZ8" s="342">
        <f>AY8-B8</f>
        <v>-1</v>
      </c>
      <c r="BA8" s="338">
        <f>+H8-AZ8</f>
        <v>-1913</v>
      </c>
      <c r="BB8" s="343" t="e">
        <f>+G8*#REF!</f>
        <v>#REF!</v>
      </c>
      <c r="BC8" s="337" t="e">
        <f>+G8*#REF!</f>
        <v>#REF!</v>
      </c>
      <c r="BD8" s="344" t="e">
        <f>+BB8+BC8</f>
        <v>#REF!</v>
      </c>
      <c r="BE8" s="345"/>
      <c r="BF8" s="111" t="e">
        <f>+G8-BD8</f>
        <v>#REF!</v>
      </c>
      <c r="BG8" s="111">
        <v>18903</v>
      </c>
      <c r="BH8" s="111">
        <v>72139</v>
      </c>
    </row>
    <row r="9" spans="1:60" ht="18.75" customHeight="1">
      <c r="A9" s="321">
        <v>2</v>
      </c>
      <c r="B9" s="107">
        <v>75278</v>
      </c>
      <c r="C9" s="333">
        <f>VLOOKUP(A9,[1]Pivot!$A$4:$C$15,2,0)</f>
        <v>53977.248</v>
      </c>
      <c r="D9" s="334">
        <f>VLOOKUP(A9,[1]Pivot!$A$4:$C$15,3,0)</f>
        <v>15147</v>
      </c>
      <c r="E9" s="108">
        <f t="shared" ref="E9:E18" si="8">ROUND((0.5*(C9/C$19) + 0.5*(D9/D$19))*$C$23,0)</f>
        <v>64966</v>
      </c>
      <c r="F9" s="109">
        <f t="shared" si="0"/>
        <v>75278</v>
      </c>
      <c r="G9" s="335">
        <f t="shared" ref="G9:G18" si="9">ROUND((+B9-(F9/$F$19)*($B$19-$C$23)),0)</f>
        <v>73605</v>
      </c>
      <c r="H9" s="110">
        <f t="shared" ref="H9:H18" si="10">+G9-B9</f>
        <v>-1673</v>
      </c>
      <c r="I9" s="336">
        <f t="shared" ref="I9:I18" si="11">IF(E9&lt;B9,1,0)</f>
        <v>1</v>
      </c>
      <c r="J9" s="337">
        <f t="shared" si="1"/>
        <v>0</v>
      </c>
      <c r="K9" s="337">
        <f t="shared" ref="K9:K18" si="12">IF(E9&lt;B9,$B9,0)</f>
        <v>75278</v>
      </c>
      <c r="L9" s="337">
        <f t="shared" si="2"/>
        <v>0</v>
      </c>
      <c r="M9" s="337">
        <f t="shared" ref="M9:M18" si="13">SUM(J9:L9)</f>
        <v>75278</v>
      </c>
      <c r="N9" s="338">
        <f t="shared" ref="N9:N18" si="14">+M9-$B9</f>
        <v>0</v>
      </c>
      <c r="O9" s="339">
        <f t="shared" ref="O9:O18" si="15">IF(M9&lt;$B9,1,0)</f>
        <v>0</v>
      </c>
      <c r="P9" s="340">
        <f t="shared" ref="P9:P18" si="16">O9+I9</f>
        <v>1</v>
      </c>
      <c r="Q9" s="337">
        <f t="shared" ref="Q9:Q18" si="17">M9*(1-P9)</f>
        <v>0</v>
      </c>
      <c r="R9" s="337">
        <f t="shared" ref="R9:R18" si="18">IF(P9=1,$B9,0)</f>
        <v>75278</v>
      </c>
      <c r="S9" s="337">
        <f t="shared" si="3"/>
        <v>0</v>
      </c>
      <c r="T9" s="337">
        <f t="shared" ref="T9:T18" si="19">SUM(Q9:S9)</f>
        <v>75278</v>
      </c>
      <c r="U9" s="338">
        <f t="shared" ref="U9:U18" si="20">+T9-$B9</f>
        <v>0</v>
      </c>
      <c r="V9" s="339">
        <f t="shared" ref="V9:V18" si="21">IF(T9&lt;$B9,1,0)</f>
        <v>0</v>
      </c>
      <c r="W9" s="340">
        <f t="shared" ref="W9:W18" si="22">V9+P9</f>
        <v>1</v>
      </c>
      <c r="X9" s="337">
        <f t="shared" ref="X9:X18" si="23">T9*(1-W9)</f>
        <v>0</v>
      </c>
      <c r="Y9" s="337">
        <f t="shared" ref="Y9:Y18" si="24">IF(W9=1,$B9,0)</f>
        <v>75278</v>
      </c>
      <c r="Z9" s="337">
        <f t="shared" si="4"/>
        <v>0</v>
      </c>
      <c r="AA9" s="337">
        <f t="shared" ref="AA9:AA18" si="25">SUM(X9:Z9)</f>
        <v>75278</v>
      </c>
      <c r="AB9" s="338">
        <f t="shared" ref="AB9:AB18" si="26">+AA9-$B9</f>
        <v>0</v>
      </c>
      <c r="AC9" s="339">
        <f t="shared" ref="AC9:AC18" si="27">IF(AA9&lt;$B9,1,0)</f>
        <v>0</v>
      </c>
      <c r="AD9" s="340">
        <f t="shared" ref="AD9:AD18" si="28">AC9+W9</f>
        <v>1</v>
      </c>
      <c r="AE9" s="337">
        <f t="shared" ref="AE9:AE18" si="29">AA9*(1-AD9)</f>
        <v>0</v>
      </c>
      <c r="AF9" s="337">
        <f t="shared" ref="AF9:AF18" si="30">IF(AD9=1,$B9,0)</f>
        <v>75278</v>
      </c>
      <c r="AG9" s="337">
        <f t="shared" si="5"/>
        <v>0</v>
      </c>
      <c r="AH9" s="337">
        <f t="shared" ref="AH9:AH18" si="31">SUM(AE9:AG9)</f>
        <v>75278</v>
      </c>
      <c r="AI9" s="338">
        <f t="shared" ref="AI9:AI18" si="32">+AH9-$B9</f>
        <v>0</v>
      </c>
      <c r="AJ9" s="339">
        <f t="shared" ref="AJ9:AJ18" si="33">IF(AH9&lt;$B9,1,0)</f>
        <v>0</v>
      </c>
      <c r="AK9" s="340">
        <f t="shared" ref="AK9:AK18" si="34">AJ9+AD9</f>
        <v>1</v>
      </c>
      <c r="AL9" s="337">
        <f t="shared" ref="AL9:AL18" si="35">AH9*(1-AK9)</f>
        <v>0</v>
      </c>
      <c r="AM9" s="337">
        <f t="shared" ref="AM9:AM18" si="36">IF(AK9=1,$B9,0)</f>
        <v>75278</v>
      </c>
      <c r="AN9" s="337">
        <f t="shared" si="6"/>
        <v>0</v>
      </c>
      <c r="AO9" s="337">
        <f t="shared" ref="AO9:AO18" si="37">SUM(AL9:AN9)</f>
        <v>75278</v>
      </c>
      <c r="AP9" s="338">
        <f t="shared" ref="AP9:AP18" si="38">+AO9-$B9</f>
        <v>0</v>
      </c>
      <c r="AQ9" s="339">
        <f t="shared" ref="AQ9:AQ18" si="39">IF(AO9&lt;$B9,1,0)</f>
        <v>0</v>
      </c>
      <c r="AR9" s="340">
        <f t="shared" ref="AR9:AR18" si="40">AQ9+AK9</f>
        <v>1</v>
      </c>
      <c r="AS9" s="337">
        <f t="shared" ref="AS9:AS18" si="41">AO9*(1-AR9)</f>
        <v>0</v>
      </c>
      <c r="AT9" s="337">
        <f t="shared" ref="AT9:AT18" si="42">IF(AR9=1,$B9,0)</f>
        <v>75278</v>
      </c>
      <c r="AU9" s="337">
        <f t="shared" si="7"/>
        <v>0</v>
      </c>
      <c r="AV9" s="337">
        <f t="shared" ref="AV9:AV18" si="43">SUM(AS9:AU9)</f>
        <v>75278</v>
      </c>
      <c r="AW9" s="338">
        <f t="shared" ref="AW9:AW18" si="44">+AV9-$B9</f>
        <v>0</v>
      </c>
      <c r="AX9" s="338">
        <f t="shared" ref="AX9:AX18" si="45">+AV9-AO9</f>
        <v>0</v>
      </c>
      <c r="AY9" s="341">
        <f t="shared" ref="AY9:AY18" si="46">IF(AX9=0,(ROUND(B9-(ROUND((AV9/AV$19)*(B$19-$C$24),0)),0)),"NO")</f>
        <v>75278</v>
      </c>
      <c r="AZ9" s="342">
        <f t="shared" ref="AZ9:AZ18" si="47">AY9-B9</f>
        <v>0</v>
      </c>
      <c r="BA9" s="338">
        <f t="shared" ref="BA9:BA18" si="48">+H9-AZ9</f>
        <v>-1673</v>
      </c>
      <c r="BB9" s="343" t="e">
        <f>+G9*#REF!</f>
        <v>#REF!</v>
      </c>
      <c r="BC9" s="337" t="e">
        <f>+G9*#REF!</f>
        <v>#REF!</v>
      </c>
      <c r="BD9" s="344" t="e">
        <f t="shared" ref="BD9:BD18" si="49">+BB9+BC9</f>
        <v>#REF!</v>
      </c>
      <c r="BE9" s="345"/>
      <c r="BF9" s="111" t="e">
        <f t="shared" ref="BF9:BF19" si="50">+G9-BD9</f>
        <v>#REF!</v>
      </c>
      <c r="BG9" s="111">
        <v>16520</v>
      </c>
      <c r="BH9" s="111">
        <v>63043</v>
      </c>
    </row>
    <row r="10" spans="1:60" ht="18.75" customHeight="1">
      <c r="A10" s="321">
        <v>3</v>
      </c>
      <c r="B10" s="107">
        <v>237249</v>
      </c>
      <c r="C10" s="333">
        <f>VLOOKUP(A10,[1]Pivot!$A$4:$C$15,2,0)</f>
        <v>152811.62299999999</v>
      </c>
      <c r="D10" s="334">
        <f>VLOOKUP(A10,[1]Pivot!$A$4:$C$15,3,0)</f>
        <v>47208</v>
      </c>
      <c r="E10" s="108">
        <f t="shared" si="8"/>
        <v>189960</v>
      </c>
      <c r="F10" s="109">
        <f t="shared" si="0"/>
        <v>237249</v>
      </c>
      <c r="G10" s="335">
        <f t="shared" si="9"/>
        <v>231976</v>
      </c>
      <c r="H10" s="110">
        <f t="shared" si="10"/>
        <v>-5273</v>
      </c>
      <c r="I10" s="336">
        <f t="shared" si="11"/>
        <v>1</v>
      </c>
      <c r="J10" s="337">
        <f t="shared" si="1"/>
        <v>0</v>
      </c>
      <c r="K10" s="337">
        <f t="shared" si="12"/>
        <v>237249</v>
      </c>
      <c r="L10" s="337">
        <f t="shared" si="2"/>
        <v>0</v>
      </c>
      <c r="M10" s="337">
        <f t="shared" si="13"/>
        <v>237249</v>
      </c>
      <c r="N10" s="338">
        <f t="shared" si="14"/>
        <v>0</v>
      </c>
      <c r="O10" s="339">
        <f t="shared" si="15"/>
        <v>0</v>
      </c>
      <c r="P10" s="340">
        <f t="shared" si="16"/>
        <v>1</v>
      </c>
      <c r="Q10" s="337">
        <f t="shared" si="17"/>
        <v>0</v>
      </c>
      <c r="R10" s="337">
        <f t="shared" si="18"/>
        <v>237249</v>
      </c>
      <c r="S10" s="337">
        <f t="shared" si="3"/>
        <v>0</v>
      </c>
      <c r="T10" s="337">
        <f t="shared" si="19"/>
        <v>237249</v>
      </c>
      <c r="U10" s="338">
        <f t="shared" si="20"/>
        <v>0</v>
      </c>
      <c r="V10" s="339">
        <f t="shared" si="21"/>
        <v>0</v>
      </c>
      <c r="W10" s="340">
        <f t="shared" si="22"/>
        <v>1</v>
      </c>
      <c r="X10" s="337">
        <f t="shared" si="23"/>
        <v>0</v>
      </c>
      <c r="Y10" s="337">
        <f t="shared" si="24"/>
        <v>237249</v>
      </c>
      <c r="Z10" s="337">
        <f t="shared" si="4"/>
        <v>0</v>
      </c>
      <c r="AA10" s="337">
        <f t="shared" si="25"/>
        <v>237249</v>
      </c>
      <c r="AB10" s="338">
        <f t="shared" si="26"/>
        <v>0</v>
      </c>
      <c r="AC10" s="339">
        <f t="shared" si="27"/>
        <v>0</v>
      </c>
      <c r="AD10" s="340">
        <f t="shared" si="28"/>
        <v>1</v>
      </c>
      <c r="AE10" s="337">
        <f t="shared" si="29"/>
        <v>0</v>
      </c>
      <c r="AF10" s="337">
        <f t="shared" si="30"/>
        <v>237249</v>
      </c>
      <c r="AG10" s="337">
        <f t="shared" si="5"/>
        <v>0</v>
      </c>
      <c r="AH10" s="337">
        <f t="shared" si="31"/>
        <v>237249</v>
      </c>
      <c r="AI10" s="338">
        <f t="shared" si="32"/>
        <v>0</v>
      </c>
      <c r="AJ10" s="339">
        <f t="shared" si="33"/>
        <v>0</v>
      </c>
      <c r="AK10" s="340">
        <f t="shared" si="34"/>
        <v>1</v>
      </c>
      <c r="AL10" s="337">
        <f t="shared" si="35"/>
        <v>0</v>
      </c>
      <c r="AM10" s="337">
        <f t="shared" si="36"/>
        <v>237249</v>
      </c>
      <c r="AN10" s="337">
        <f t="shared" si="6"/>
        <v>0</v>
      </c>
      <c r="AO10" s="337">
        <f t="shared" si="37"/>
        <v>237249</v>
      </c>
      <c r="AP10" s="338">
        <f t="shared" si="38"/>
        <v>0</v>
      </c>
      <c r="AQ10" s="339">
        <f t="shared" si="39"/>
        <v>0</v>
      </c>
      <c r="AR10" s="340">
        <f t="shared" si="40"/>
        <v>1</v>
      </c>
      <c r="AS10" s="337">
        <f t="shared" si="41"/>
        <v>0</v>
      </c>
      <c r="AT10" s="337">
        <f t="shared" si="42"/>
        <v>237249</v>
      </c>
      <c r="AU10" s="337">
        <f t="shared" si="7"/>
        <v>0</v>
      </c>
      <c r="AV10" s="337">
        <f t="shared" si="43"/>
        <v>237249</v>
      </c>
      <c r="AW10" s="338">
        <f t="shared" si="44"/>
        <v>0</v>
      </c>
      <c r="AX10" s="338">
        <f t="shared" si="45"/>
        <v>0</v>
      </c>
      <c r="AY10" s="341">
        <f t="shared" si="46"/>
        <v>237249</v>
      </c>
      <c r="AZ10" s="342">
        <f t="shared" si="47"/>
        <v>0</v>
      </c>
      <c r="BA10" s="338">
        <f t="shared" si="48"/>
        <v>-5273</v>
      </c>
      <c r="BB10" s="343" t="e">
        <f>+G10*#REF!</f>
        <v>#REF!</v>
      </c>
      <c r="BC10" s="337" t="e">
        <f>+G10*#REF!</f>
        <v>#REF!</v>
      </c>
      <c r="BD10" s="344" t="e">
        <f t="shared" si="49"/>
        <v>#REF!</v>
      </c>
      <c r="BE10" s="345"/>
      <c r="BF10" s="111" t="e">
        <f t="shared" si="50"/>
        <v>#REF!</v>
      </c>
      <c r="BG10" s="111">
        <v>52063</v>
      </c>
      <c r="BH10" s="111">
        <v>198688</v>
      </c>
    </row>
    <row r="11" spans="1:60" ht="18.75" customHeight="1">
      <c r="A11" s="321">
        <v>4</v>
      </c>
      <c r="B11" s="107">
        <v>116313</v>
      </c>
      <c r="C11" s="333">
        <f>VLOOKUP(A11,[1]Pivot!$A$4:$C$15,2,0)</f>
        <v>75928.252999999997</v>
      </c>
      <c r="D11" s="334">
        <f>VLOOKUP(A11,[1]Pivot!$A$4:$C$15,3,0)</f>
        <v>41763</v>
      </c>
      <c r="E11" s="108">
        <f t="shared" si="8"/>
        <v>119942</v>
      </c>
      <c r="F11" s="109">
        <f t="shared" si="0"/>
        <v>119942</v>
      </c>
      <c r="G11" s="335">
        <f t="shared" si="9"/>
        <v>113647</v>
      </c>
      <c r="H11" s="110">
        <f t="shared" si="10"/>
        <v>-2666</v>
      </c>
      <c r="I11" s="336">
        <f t="shared" si="11"/>
        <v>0</v>
      </c>
      <c r="J11" s="337">
        <f t="shared" si="1"/>
        <v>119942</v>
      </c>
      <c r="K11" s="337">
        <f t="shared" si="12"/>
        <v>0</v>
      </c>
      <c r="L11" s="337">
        <f t="shared" si="2"/>
        <v>-23050</v>
      </c>
      <c r="M11" s="337">
        <f t="shared" si="13"/>
        <v>96892</v>
      </c>
      <c r="N11" s="338">
        <f t="shared" si="14"/>
        <v>-19421</v>
      </c>
      <c r="O11" s="339">
        <f t="shared" si="15"/>
        <v>1</v>
      </c>
      <c r="P11" s="340">
        <f t="shared" si="16"/>
        <v>1</v>
      </c>
      <c r="Q11" s="337">
        <f t="shared" si="17"/>
        <v>0</v>
      </c>
      <c r="R11" s="337">
        <f t="shared" si="18"/>
        <v>116313</v>
      </c>
      <c r="S11" s="337">
        <f t="shared" si="3"/>
        <v>0</v>
      </c>
      <c r="T11" s="337">
        <f t="shared" si="19"/>
        <v>116313</v>
      </c>
      <c r="U11" s="338">
        <f t="shared" si="20"/>
        <v>0</v>
      </c>
      <c r="V11" s="339">
        <f t="shared" si="21"/>
        <v>0</v>
      </c>
      <c r="W11" s="340">
        <f t="shared" si="22"/>
        <v>1</v>
      </c>
      <c r="X11" s="337">
        <f t="shared" si="23"/>
        <v>0</v>
      </c>
      <c r="Y11" s="337">
        <f t="shared" si="24"/>
        <v>116313</v>
      </c>
      <c r="Z11" s="337">
        <f t="shared" si="4"/>
        <v>0</v>
      </c>
      <c r="AA11" s="337">
        <f t="shared" si="25"/>
        <v>116313</v>
      </c>
      <c r="AB11" s="338">
        <f t="shared" si="26"/>
        <v>0</v>
      </c>
      <c r="AC11" s="339">
        <f t="shared" si="27"/>
        <v>0</v>
      </c>
      <c r="AD11" s="340">
        <f t="shared" si="28"/>
        <v>1</v>
      </c>
      <c r="AE11" s="337">
        <f t="shared" si="29"/>
        <v>0</v>
      </c>
      <c r="AF11" s="337">
        <f t="shared" si="30"/>
        <v>116313</v>
      </c>
      <c r="AG11" s="337">
        <f t="shared" si="5"/>
        <v>0</v>
      </c>
      <c r="AH11" s="337">
        <f t="shared" si="31"/>
        <v>116313</v>
      </c>
      <c r="AI11" s="338">
        <f t="shared" si="32"/>
        <v>0</v>
      </c>
      <c r="AJ11" s="339">
        <f t="shared" si="33"/>
        <v>0</v>
      </c>
      <c r="AK11" s="340">
        <f t="shared" si="34"/>
        <v>1</v>
      </c>
      <c r="AL11" s="337">
        <f t="shared" si="35"/>
        <v>0</v>
      </c>
      <c r="AM11" s="337">
        <f t="shared" si="36"/>
        <v>116313</v>
      </c>
      <c r="AN11" s="337">
        <f t="shared" si="6"/>
        <v>0</v>
      </c>
      <c r="AO11" s="337">
        <f t="shared" si="37"/>
        <v>116313</v>
      </c>
      <c r="AP11" s="338">
        <f t="shared" si="38"/>
        <v>0</v>
      </c>
      <c r="AQ11" s="339">
        <f t="shared" si="39"/>
        <v>0</v>
      </c>
      <c r="AR11" s="340">
        <f t="shared" si="40"/>
        <v>1</v>
      </c>
      <c r="AS11" s="337">
        <f t="shared" si="41"/>
        <v>0</v>
      </c>
      <c r="AT11" s="337">
        <f t="shared" si="42"/>
        <v>116313</v>
      </c>
      <c r="AU11" s="337">
        <f t="shared" si="7"/>
        <v>0</v>
      </c>
      <c r="AV11" s="337">
        <f t="shared" si="43"/>
        <v>116313</v>
      </c>
      <c r="AW11" s="338">
        <f t="shared" si="44"/>
        <v>0</v>
      </c>
      <c r="AX11" s="338">
        <f t="shared" si="45"/>
        <v>0</v>
      </c>
      <c r="AY11" s="341">
        <f t="shared" si="46"/>
        <v>116313</v>
      </c>
      <c r="AZ11" s="342">
        <f t="shared" si="47"/>
        <v>0</v>
      </c>
      <c r="BA11" s="338">
        <f t="shared" si="48"/>
        <v>-2666</v>
      </c>
      <c r="BB11" s="343" t="e">
        <f>+G11*#REF!</f>
        <v>#REF!</v>
      </c>
      <c r="BC11" s="337" t="e">
        <f>+G11*#REF!</f>
        <v>#REF!</v>
      </c>
      <c r="BD11" s="344" t="e">
        <f t="shared" si="49"/>
        <v>#REF!</v>
      </c>
      <c r="BE11" s="345"/>
      <c r="BF11" s="111" t="e">
        <f t="shared" si="50"/>
        <v>#REF!</v>
      </c>
      <c r="BG11" s="111">
        <v>25518</v>
      </c>
      <c r="BH11" s="111">
        <v>97385</v>
      </c>
    </row>
    <row r="12" spans="1:60" ht="18.75" customHeight="1">
      <c r="A12" s="321">
        <v>5</v>
      </c>
      <c r="B12" s="107">
        <v>133121</v>
      </c>
      <c r="C12" s="333">
        <f>VLOOKUP(A12,[1]Pivot!$A$4:$C$15,2,0)</f>
        <v>50810.756000000001</v>
      </c>
      <c r="D12" s="334">
        <f>VLOOKUP(A12,[1]Pivot!$A$4:$C$15,3,0)</f>
        <v>39713</v>
      </c>
      <c r="E12" s="108">
        <f t="shared" si="8"/>
        <v>96689</v>
      </c>
      <c r="F12" s="109">
        <f t="shared" si="0"/>
        <v>133121</v>
      </c>
      <c r="G12" s="335">
        <f t="shared" si="9"/>
        <v>130163</v>
      </c>
      <c r="H12" s="110">
        <f t="shared" si="10"/>
        <v>-2958</v>
      </c>
      <c r="I12" s="336">
        <f t="shared" si="11"/>
        <v>1</v>
      </c>
      <c r="J12" s="337">
        <f t="shared" si="1"/>
        <v>0</v>
      </c>
      <c r="K12" s="337">
        <f t="shared" si="12"/>
        <v>133121</v>
      </c>
      <c r="L12" s="337">
        <f t="shared" si="2"/>
        <v>0</v>
      </c>
      <c r="M12" s="337">
        <f t="shared" si="13"/>
        <v>133121</v>
      </c>
      <c r="N12" s="338">
        <f t="shared" si="14"/>
        <v>0</v>
      </c>
      <c r="O12" s="339">
        <f t="shared" si="15"/>
        <v>0</v>
      </c>
      <c r="P12" s="340">
        <f t="shared" si="16"/>
        <v>1</v>
      </c>
      <c r="Q12" s="337">
        <f t="shared" si="17"/>
        <v>0</v>
      </c>
      <c r="R12" s="337">
        <f t="shared" si="18"/>
        <v>133121</v>
      </c>
      <c r="S12" s="337">
        <f t="shared" si="3"/>
        <v>0</v>
      </c>
      <c r="T12" s="337">
        <f t="shared" si="19"/>
        <v>133121</v>
      </c>
      <c r="U12" s="338">
        <f t="shared" si="20"/>
        <v>0</v>
      </c>
      <c r="V12" s="339">
        <f t="shared" si="21"/>
        <v>0</v>
      </c>
      <c r="W12" s="340">
        <f t="shared" si="22"/>
        <v>1</v>
      </c>
      <c r="X12" s="337">
        <f t="shared" si="23"/>
        <v>0</v>
      </c>
      <c r="Y12" s="337">
        <f t="shared" si="24"/>
        <v>133121</v>
      </c>
      <c r="Z12" s="337">
        <f t="shared" si="4"/>
        <v>0</v>
      </c>
      <c r="AA12" s="337">
        <f t="shared" si="25"/>
        <v>133121</v>
      </c>
      <c r="AB12" s="338">
        <f t="shared" si="26"/>
        <v>0</v>
      </c>
      <c r="AC12" s="339">
        <f t="shared" si="27"/>
        <v>0</v>
      </c>
      <c r="AD12" s="340">
        <f t="shared" si="28"/>
        <v>1</v>
      </c>
      <c r="AE12" s="337">
        <f t="shared" si="29"/>
        <v>0</v>
      </c>
      <c r="AF12" s="337">
        <f t="shared" si="30"/>
        <v>133121</v>
      </c>
      <c r="AG12" s="337">
        <f t="shared" si="5"/>
        <v>0</v>
      </c>
      <c r="AH12" s="337">
        <f t="shared" si="31"/>
        <v>133121</v>
      </c>
      <c r="AI12" s="338">
        <f t="shared" si="32"/>
        <v>0</v>
      </c>
      <c r="AJ12" s="339">
        <f t="shared" si="33"/>
        <v>0</v>
      </c>
      <c r="AK12" s="340">
        <f t="shared" si="34"/>
        <v>1</v>
      </c>
      <c r="AL12" s="337">
        <f t="shared" si="35"/>
        <v>0</v>
      </c>
      <c r="AM12" s="337">
        <f t="shared" si="36"/>
        <v>133121</v>
      </c>
      <c r="AN12" s="337">
        <f t="shared" si="6"/>
        <v>0</v>
      </c>
      <c r="AO12" s="337">
        <f t="shared" si="37"/>
        <v>133121</v>
      </c>
      <c r="AP12" s="338">
        <f t="shared" si="38"/>
        <v>0</v>
      </c>
      <c r="AQ12" s="339">
        <f t="shared" si="39"/>
        <v>0</v>
      </c>
      <c r="AR12" s="340">
        <f t="shared" si="40"/>
        <v>1</v>
      </c>
      <c r="AS12" s="337">
        <f t="shared" si="41"/>
        <v>0</v>
      </c>
      <c r="AT12" s="337">
        <f t="shared" si="42"/>
        <v>133121</v>
      </c>
      <c r="AU12" s="337">
        <f t="shared" si="7"/>
        <v>0</v>
      </c>
      <c r="AV12" s="337">
        <f t="shared" si="43"/>
        <v>133121</v>
      </c>
      <c r="AW12" s="338">
        <f t="shared" si="44"/>
        <v>0</v>
      </c>
      <c r="AX12" s="338">
        <f t="shared" si="45"/>
        <v>0</v>
      </c>
      <c r="AY12" s="341">
        <f t="shared" si="46"/>
        <v>133121</v>
      </c>
      <c r="AZ12" s="342">
        <f t="shared" si="47"/>
        <v>0</v>
      </c>
      <c r="BA12" s="338">
        <f t="shared" si="48"/>
        <v>-2958</v>
      </c>
      <c r="BB12" s="343" t="e">
        <f>+G12*#REF!</f>
        <v>#REF!</v>
      </c>
      <c r="BC12" s="337" t="e">
        <f>+G12*#REF!</f>
        <v>#REF!</v>
      </c>
      <c r="BD12" s="344" t="e">
        <f t="shared" si="49"/>
        <v>#REF!</v>
      </c>
      <c r="BE12" s="345"/>
      <c r="BF12" s="111" t="e">
        <f t="shared" si="50"/>
        <v>#REF!</v>
      </c>
      <c r="BG12" s="111">
        <v>29213</v>
      </c>
      <c r="BH12" s="111">
        <v>111484</v>
      </c>
    </row>
    <row r="13" spans="1:60" ht="18.75" customHeight="1">
      <c r="A13" s="321">
        <v>6</v>
      </c>
      <c r="B13" s="107">
        <v>127305</v>
      </c>
      <c r="C13" s="333">
        <f>VLOOKUP(A13,[1]Pivot!$A$4:$C$15,2,0)</f>
        <v>108223.723</v>
      </c>
      <c r="D13" s="334">
        <f>VLOOKUP(A13,[1]Pivot!$A$4:$C$15,3,0)</f>
        <v>56355</v>
      </c>
      <c r="E13" s="108">
        <f t="shared" si="8"/>
        <v>166531</v>
      </c>
      <c r="F13" s="109">
        <f t="shared" si="0"/>
        <v>166531</v>
      </c>
      <c r="G13" s="335">
        <f t="shared" si="9"/>
        <v>123604</v>
      </c>
      <c r="H13" s="110">
        <f t="shared" si="10"/>
        <v>-3701</v>
      </c>
      <c r="I13" s="336">
        <f t="shared" si="11"/>
        <v>0</v>
      </c>
      <c r="J13" s="337">
        <f t="shared" si="1"/>
        <v>166531</v>
      </c>
      <c r="K13" s="337">
        <f t="shared" si="12"/>
        <v>0</v>
      </c>
      <c r="L13" s="337">
        <f t="shared" si="2"/>
        <v>-32003</v>
      </c>
      <c r="M13" s="337">
        <f t="shared" si="13"/>
        <v>134528</v>
      </c>
      <c r="N13" s="338">
        <f t="shared" si="14"/>
        <v>7223</v>
      </c>
      <c r="O13" s="339">
        <f t="shared" si="15"/>
        <v>0</v>
      </c>
      <c r="P13" s="340">
        <f t="shared" si="16"/>
        <v>0</v>
      </c>
      <c r="Q13" s="337">
        <f t="shared" si="17"/>
        <v>134528</v>
      </c>
      <c r="R13" s="337">
        <f t="shared" si="18"/>
        <v>0</v>
      </c>
      <c r="S13" s="337">
        <f t="shared" si="3"/>
        <v>-14434</v>
      </c>
      <c r="T13" s="337">
        <f t="shared" si="19"/>
        <v>120094</v>
      </c>
      <c r="U13" s="338">
        <f t="shared" si="20"/>
        <v>-7211</v>
      </c>
      <c r="V13" s="339">
        <f t="shared" si="21"/>
        <v>1</v>
      </c>
      <c r="W13" s="340">
        <f t="shared" si="22"/>
        <v>1</v>
      </c>
      <c r="X13" s="337">
        <f t="shared" si="23"/>
        <v>0</v>
      </c>
      <c r="Y13" s="337">
        <f t="shared" si="24"/>
        <v>127305</v>
      </c>
      <c r="Z13" s="337">
        <f t="shared" si="4"/>
        <v>0</v>
      </c>
      <c r="AA13" s="337">
        <f t="shared" si="25"/>
        <v>127305</v>
      </c>
      <c r="AB13" s="338">
        <f t="shared" si="26"/>
        <v>0</v>
      </c>
      <c r="AC13" s="339">
        <f t="shared" si="27"/>
        <v>0</v>
      </c>
      <c r="AD13" s="340">
        <f t="shared" si="28"/>
        <v>1</v>
      </c>
      <c r="AE13" s="337">
        <f t="shared" si="29"/>
        <v>0</v>
      </c>
      <c r="AF13" s="337">
        <f t="shared" si="30"/>
        <v>127305</v>
      </c>
      <c r="AG13" s="337">
        <f t="shared" si="5"/>
        <v>0</v>
      </c>
      <c r="AH13" s="337">
        <f t="shared" si="31"/>
        <v>127305</v>
      </c>
      <c r="AI13" s="338">
        <f t="shared" si="32"/>
        <v>0</v>
      </c>
      <c r="AJ13" s="339">
        <f t="shared" si="33"/>
        <v>0</v>
      </c>
      <c r="AK13" s="340">
        <f t="shared" si="34"/>
        <v>1</v>
      </c>
      <c r="AL13" s="337">
        <f t="shared" si="35"/>
        <v>0</v>
      </c>
      <c r="AM13" s="337">
        <f t="shared" si="36"/>
        <v>127305</v>
      </c>
      <c r="AN13" s="337">
        <f t="shared" si="6"/>
        <v>0</v>
      </c>
      <c r="AO13" s="337">
        <f t="shared" si="37"/>
        <v>127305</v>
      </c>
      <c r="AP13" s="338">
        <f t="shared" si="38"/>
        <v>0</v>
      </c>
      <c r="AQ13" s="339">
        <f t="shared" si="39"/>
        <v>0</v>
      </c>
      <c r="AR13" s="340">
        <f t="shared" si="40"/>
        <v>1</v>
      </c>
      <c r="AS13" s="337">
        <f t="shared" si="41"/>
        <v>0</v>
      </c>
      <c r="AT13" s="337">
        <f t="shared" si="42"/>
        <v>127305</v>
      </c>
      <c r="AU13" s="337">
        <f t="shared" si="7"/>
        <v>0</v>
      </c>
      <c r="AV13" s="337">
        <f t="shared" si="43"/>
        <v>127305</v>
      </c>
      <c r="AW13" s="338">
        <f t="shared" si="44"/>
        <v>0</v>
      </c>
      <c r="AX13" s="338">
        <f t="shared" si="45"/>
        <v>0</v>
      </c>
      <c r="AY13" s="341">
        <f t="shared" si="46"/>
        <v>127305</v>
      </c>
      <c r="AZ13" s="342">
        <f t="shared" si="47"/>
        <v>0</v>
      </c>
      <c r="BA13" s="338">
        <f t="shared" si="48"/>
        <v>-3701</v>
      </c>
      <c r="BB13" s="343" t="e">
        <f>+G13*#REF!</f>
        <v>#REF!</v>
      </c>
      <c r="BC13" s="337" t="e">
        <f>+G13*#REF!</f>
        <v>#REF!</v>
      </c>
      <c r="BD13" s="344" t="e">
        <f t="shared" si="49"/>
        <v>#REF!</v>
      </c>
      <c r="BE13" s="345"/>
      <c r="BF13" s="111" t="e">
        <f t="shared" si="50"/>
        <v>#REF!</v>
      </c>
      <c r="BG13" s="111">
        <v>28206</v>
      </c>
      <c r="BH13" s="111">
        <v>107640</v>
      </c>
    </row>
    <row r="14" spans="1:60" ht="18.75" customHeight="1">
      <c r="A14" s="321">
        <v>7</v>
      </c>
      <c r="B14" s="107">
        <v>176677</v>
      </c>
      <c r="C14" s="333">
        <f>VLOOKUP(A14,[1]Pivot!$A$4:$C$15,2,0)</f>
        <v>90276.466</v>
      </c>
      <c r="D14" s="334">
        <f>VLOOKUP(A14,[1]Pivot!$A$4:$C$15,3,0)</f>
        <v>44528</v>
      </c>
      <c r="E14" s="108">
        <f t="shared" si="8"/>
        <v>135450</v>
      </c>
      <c r="F14" s="109">
        <f t="shared" si="0"/>
        <v>176677</v>
      </c>
      <c r="G14" s="335">
        <f t="shared" si="9"/>
        <v>172751</v>
      </c>
      <c r="H14" s="110">
        <f t="shared" si="10"/>
        <v>-3926</v>
      </c>
      <c r="I14" s="336">
        <f t="shared" si="11"/>
        <v>1</v>
      </c>
      <c r="J14" s="337">
        <f t="shared" si="1"/>
        <v>0</v>
      </c>
      <c r="K14" s="337">
        <f t="shared" si="12"/>
        <v>176677</v>
      </c>
      <c r="L14" s="337">
        <f t="shared" si="2"/>
        <v>0</v>
      </c>
      <c r="M14" s="337">
        <f t="shared" si="13"/>
        <v>176677</v>
      </c>
      <c r="N14" s="338">
        <f t="shared" si="14"/>
        <v>0</v>
      </c>
      <c r="O14" s="339">
        <f t="shared" si="15"/>
        <v>0</v>
      </c>
      <c r="P14" s="340">
        <f t="shared" si="16"/>
        <v>1</v>
      </c>
      <c r="Q14" s="337">
        <f t="shared" si="17"/>
        <v>0</v>
      </c>
      <c r="R14" s="337">
        <f t="shared" si="18"/>
        <v>176677</v>
      </c>
      <c r="S14" s="337">
        <f t="shared" si="3"/>
        <v>0</v>
      </c>
      <c r="T14" s="337">
        <f t="shared" si="19"/>
        <v>176677</v>
      </c>
      <c r="U14" s="338">
        <f t="shared" si="20"/>
        <v>0</v>
      </c>
      <c r="V14" s="339">
        <f t="shared" si="21"/>
        <v>0</v>
      </c>
      <c r="W14" s="340">
        <f t="shared" si="22"/>
        <v>1</v>
      </c>
      <c r="X14" s="337">
        <f t="shared" si="23"/>
        <v>0</v>
      </c>
      <c r="Y14" s="337">
        <f t="shared" si="24"/>
        <v>176677</v>
      </c>
      <c r="Z14" s="337">
        <f t="shared" si="4"/>
        <v>0</v>
      </c>
      <c r="AA14" s="337">
        <f t="shared" si="25"/>
        <v>176677</v>
      </c>
      <c r="AB14" s="338">
        <f t="shared" si="26"/>
        <v>0</v>
      </c>
      <c r="AC14" s="339">
        <f t="shared" si="27"/>
        <v>0</v>
      </c>
      <c r="AD14" s="340">
        <f t="shared" si="28"/>
        <v>1</v>
      </c>
      <c r="AE14" s="337">
        <f t="shared" si="29"/>
        <v>0</v>
      </c>
      <c r="AF14" s="337">
        <f t="shared" si="30"/>
        <v>176677</v>
      </c>
      <c r="AG14" s="337">
        <f t="shared" si="5"/>
        <v>0</v>
      </c>
      <c r="AH14" s="337">
        <f t="shared" si="31"/>
        <v>176677</v>
      </c>
      <c r="AI14" s="338">
        <f t="shared" si="32"/>
        <v>0</v>
      </c>
      <c r="AJ14" s="339">
        <f t="shared" si="33"/>
        <v>0</v>
      </c>
      <c r="AK14" s="340">
        <f t="shared" si="34"/>
        <v>1</v>
      </c>
      <c r="AL14" s="337">
        <f t="shared" si="35"/>
        <v>0</v>
      </c>
      <c r="AM14" s="337">
        <f t="shared" si="36"/>
        <v>176677</v>
      </c>
      <c r="AN14" s="337">
        <f t="shared" si="6"/>
        <v>0</v>
      </c>
      <c r="AO14" s="337">
        <f t="shared" si="37"/>
        <v>176677</v>
      </c>
      <c r="AP14" s="338">
        <f t="shared" si="38"/>
        <v>0</v>
      </c>
      <c r="AQ14" s="339">
        <f t="shared" si="39"/>
        <v>0</v>
      </c>
      <c r="AR14" s="340">
        <f t="shared" si="40"/>
        <v>1</v>
      </c>
      <c r="AS14" s="337">
        <f t="shared" si="41"/>
        <v>0</v>
      </c>
      <c r="AT14" s="337">
        <f t="shared" si="42"/>
        <v>176677</v>
      </c>
      <c r="AU14" s="337">
        <f t="shared" si="7"/>
        <v>0</v>
      </c>
      <c r="AV14" s="337">
        <f t="shared" si="43"/>
        <v>176677</v>
      </c>
      <c r="AW14" s="338">
        <f t="shared" si="44"/>
        <v>0</v>
      </c>
      <c r="AX14" s="338">
        <f t="shared" si="45"/>
        <v>0</v>
      </c>
      <c r="AY14" s="341">
        <f t="shared" si="46"/>
        <v>176677</v>
      </c>
      <c r="AZ14" s="342">
        <f t="shared" si="47"/>
        <v>0</v>
      </c>
      <c r="BA14" s="338">
        <f t="shared" si="48"/>
        <v>-3926</v>
      </c>
      <c r="BB14" s="343" t="e">
        <f>+G14*#REF!</f>
        <v>#REF!</v>
      </c>
      <c r="BC14" s="337" t="e">
        <f>+G14*#REF!</f>
        <v>#REF!</v>
      </c>
      <c r="BD14" s="344" t="e">
        <f t="shared" si="49"/>
        <v>#REF!</v>
      </c>
      <c r="BE14" s="345"/>
      <c r="BF14" s="111" t="e">
        <f t="shared" si="50"/>
        <v>#REF!</v>
      </c>
      <c r="BG14" s="111">
        <v>38771</v>
      </c>
      <c r="BH14" s="111">
        <v>147962</v>
      </c>
    </row>
    <row r="15" spans="1:60" ht="18.75" customHeight="1">
      <c r="A15" s="321">
        <v>8</v>
      </c>
      <c r="B15" s="107">
        <v>82591</v>
      </c>
      <c r="C15" s="333">
        <f>VLOOKUP(A15,[1]Pivot!$A$4:$C$15,2,0)</f>
        <v>93081.126999999993</v>
      </c>
      <c r="D15" s="334">
        <f>VLOOKUP(A15,[1]Pivot!$A$4:$C$15,3,0)</f>
        <v>44293</v>
      </c>
      <c r="E15" s="108">
        <f t="shared" si="8"/>
        <v>137399</v>
      </c>
      <c r="F15" s="109">
        <f t="shared" si="0"/>
        <v>137399</v>
      </c>
      <c r="G15" s="335">
        <f t="shared" si="9"/>
        <v>79537</v>
      </c>
      <c r="H15" s="110">
        <f t="shared" si="10"/>
        <v>-3054</v>
      </c>
      <c r="I15" s="336">
        <f t="shared" si="11"/>
        <v>0</v>
      </c>
      <c r="J15" s="337">
        <f t="shared" si="1"/>
        <v>137399</v>
      </c>
      <c r="K15" s="337">
        <f t="shared" si="12"/>
        <v>0</v>
      </c>
      <c r="L15" s="337">
        <f t="shared" si="2"/>
        <v>-26405</v>
      </c>
      <c r="M15" s="337">
        <f t="shared" si="13"/>
        <v>110994</v>
      </c>
      <c r="N15" s="338">
        <f t="shared" si="14"/>
        <v>28403</v>
      </c>
      <c r="O15" s="339">
        <f t="shared" si="15"/>
        <v>0</v>
      </c>
      <c r="P15" s="340">
        <f t="shared" si="16"/>
        <v>0</v>
      </c>
      <c r="Q15" s="337">
        <f t="shared" si="17"/>
        <v>110994</v>
      </c>
      <c r="R15" s="337">
        <f t="shared" si="18"/>
        <v>0</v>
      </c>
      <c r="S15" s="337">
        <f t="shared" si="3"/>
        <v>-11909</v>
      </c>
      <c r="T15" s="337">
        <f t="shared" si="19"/>
        <v>99085</v>
      </c>
      <c r="U15" s="338">
        <f t="shared" si="20"/>
        <v>16494</v>
      </c>
      <c r="V15" s="339">
        <f t="shared" si="21"/>
        <v>0</v>
      </c>
      <c r="W15" s="340">
        <f t="shared" si="22"/>
        <v>0</v>
      </c>
      <c r="X15" s="337">
        <f t="shared" si="23"/>
        <v>99085</v>
      </c>
      <c r="Y15" s="337">
        <f t="shared" si="24"/>
        <v>0</v>
      </c>
      <c r="Z15" s="337">
        <f t="shared" si="4"/>
        <v>-16494</v>
      </c>
      <c r="AA15" s="337">
        <f t="shared" si="25"/>
        <v>82591</v>
      </c>
      <c r="AB15" s="338">
        <f t="shared" si="26"/>
        <v>0</v>
      </c>
      <c r="AC15" s="339">
        <f t="shared" si="27"/>
        <v>0</v>
      </c>
      <c r="AD15" s="340">
        <f t="shared" si="28"/>
        <v>0</v>
      </c>
      <c r="AE15" s="337">
        <f t="shared" si="29"/>
        <v>82591</v>
      </c>
      <c r="AF15" s="337">
        <f t="shared" si="30"/>
        <v>0</v>
      </c>
      <c r="AG15" s="337">
        <f t="shared" si="5"/>
        <v>0</v>
      </c>
      <c r="AH15" s="337">
        <f t="shared" si="31"/>
        <v>82591</v>
      </c>
      <c r="AI15" s="338">
        <f t="shared" si="32"/>
        <v>0</v>
      </c>
      <c r="AJ15" s="339">
        <f t="shared" si="33"/>
        <v>0</v>
      </c>
      <c r="AK15" s="340">
        <f t="shared" si="34"/>
        <v>0</v>
      </c>
      <c r="AL15" s="337">
        <f t="shared" si="35"/>
        <v>82591</v>
      </c>
      <c r="AM15" s="337">
        <f t="shared" si="36"/>
        <v>0</v>
      </c>
      <c r="AN15" s="337">
        <f t="shared" si="6"/>
        <v>0</v>
      </c>
      <c r="AO15" s="337">
        <f t="shared" si="37"/>
        <v>82591</v>
      </c>
      <c r="AP15" s="338">
        <f t="shared" si="38"/>
        <v>0</v>
      </c>
      <c r="AQ15" s="339">
        <f t="shared" si="39"/>
        <v>0</v>
      </c>
      <c r="AR15" s="340">
        <f t="shared" si="40"/>
        <v>0</v>
      </c>
      <c r="AS15" s="337">
        <f t="shared" si="41"/>
        <v>82591</v>
      </c>
      <c r="AT15" s="337">
        <f t="shared" si="42"/>
        <v>0</v>
      </c>
      <c r="AU15" s="337">
        <f t="shared" si="7"/>
        <v>0</v>
      </c>
      <c r="AV15" s="337">
        <f t="shared" si="43"/>
        <v>82591</v>
      </c>
      <c r="AW15" s="338">
        <f t="shared" si="44"/>
        <v>0</v>
      </c>
      <c r="AX15" s="338">
        <f t="shared" si="45"/>
        <v>0</v>
      </c>
      <c r="AY15" s="341">
        <f t="shared" si="46"/>
        <v>82591</v>
      </c>
      <c r="AZ15" s="342">
        <f t="shared" si="47"/>
        <v>0</v>
      </c>
      <c r="BA15" s="338">
        <f t="shared" si="48"/>
        <v>-3054</v>
      </c>
      <c r="BB15" s="343" t="e">
        <f>+G15*#REF!</f>
        <v>#REF!</v>
      </c>
      <c r="BC15" s="337" t="e">
        <f>+G15*#REF!</f>
        <v>#REF!</v>
      </c>
      <c r="BD15" s="344" t="e">
        <f t="shared" si="49"/>
        <v>#REF!</v>
      </c>
      <c r="BE15" s="345"/>
      <c r="BF15" s="111" t="e">
        <f t="shared" si="50"/>
        <v>#REF!</v>
      </c>
      <c r="BG15" s="111">
        <v>18679</v>
      </c>
      <c r="BH15" s="111">
        <v>71283</v>
      </c>
    </row>
    <row r="16" spans="1:60" ht="18.75" customHeight="1">
      <c r="A16" s="321">
        <v>9</v>
      </c>
      <c r="B16" s="107">
        <v>95181</v>
      </c>
      <c r="C16" s="333">
        <f>VLOOKUP(A16,[1]Pivot!$A$4:$C$15,2,0)</f>
        <v>58561.115380229756</v>
      </c>
      <c r="D16" s="334">
        <f>VLOOKUP(A16,[1]Pivot!$A$4:$C$15,3,0)</f>
        <v>51268</v>
      </c>
      <c r="E16" s="108">
        <f t="shared" si="8"/>
        <v>119111</v>
      </c>
      <c r="F16" s="109">
        <f t="shared" si="0"/>
        <v>119111</v>
      </c>
      <c r="G16" s="335">
        <f t="shared" si="9"/>
        <v>92534</v>
      </c>
      <c r="H16" s="110">
        <f t="shared" si="10"/>
        <v>-2647</v>
      </c>
      <c r="I16" s="336">
        <f t="shared" si="11"/>
        <v>0</v>
      </c>
      <c r="J16" s="337">
        <f t="shared" si="1"/>
        <v>119111</v>
      </c>
      <c r="K16" s="337">
        <f t="shared" si="12"/>
        <v>0</v>
      </c>
      <c r="L16" s="337">
        <f t="shared" si="2"/>
        <v>-22890</v>
      </c>
      <c r="M16" s="337">
        <f t="shared" si="13"/>
        <v>96221</v>
      </c>
      <c r="N16" s="338">
        <f t="shared" si="14"/>
        <v>1040</v>
      </c>
      <c r="O16" s="339">
        <f t="shared" si="15"/>
        <v>0</v>
      </c>
      <c r="P16" s="340">
        <f t="shared" si="16"/>
        <v>0</v>
      </c>
      <c r="Q16" s="337">
        <f t="shared" si="17"/>
        <v>96221</v>
      </c>
      <c r="R16" s="337">
        <f t="shared" si="18"/>
        <v>0</v>
      </c>
      <c r="S16" s="337">
        <f t="shared" si="3"/>
        <v>-10324</v>
      </c>
      <c r="T16" s="337">
        <f t="shared" si="19"/>
        <v>85897</v>
      </c>
      <c r="U16" s="338">
        <f t="shared" si="20"/>
        <v>-9284</v>
      </c>
      <c r="V16" s="339">
        <f t="shared" si="21"/>
        <v>1</v>
      </c>
      <c r="W16" s="340">
        <f t="shared" si="22"/>
        <v>1</v>
      </c>
      <c r="X16" s="337">
        <f t="shared" si="23"/>
        <v>0</v>
      </c>
      <c r="Y16" s="337">
        <f t="shared" si="24"/>
        <v>95181</v>
      </c>
      <c r="Z16" s="337">
        <f t="shared" si="4"/>
        <v>0</v>
      </c>
      <c r="AA16" s="337">
        <f t="shared" si="25"/>
        <v>95181</v>
      </c>
      <c r="AB16" s="338">
        <f t="shared" si="26"/>
        <v>0</v>
      </c>
      <c r="AC16" s="339">
        <f t="shared" si="27"/>
        <v>0</v>
      </c>
      <c r="AD16" s="340">
        <f t="shared" si="28"/>
        <v>1</v>
      </c>
      <c r="AE16" s="337">
        <f t="shared" si="29"/>
        <v>0</v>
      </c>
      <c r="AF16" s="337">
        <f t="shared" si="30"/>
        <v>95181</v>
      </c>
      <c r="AG16" s="337">
        <f t="shared" si="5"/>
        <v>0</v>
      </c>
      <c r="AH16" s="337">
        <f t="shared" si="31"/>
        <v>95181</v>
      </c>
      <c r="AI16" s="338">
        <f t="shared" si="32"/>
        <v>0</v>
      </c>
      <c r="AJ16" s="339">
        <f t="shared" si="33"/>
        <v>0</v>
      </c>
      <c r="AK16" s="340">
        <f t="shared" si="34"/>
        <v>1</v>
      </c>
      <c r="AL16" s="337">
        <f t="shared" si="35"/>
        <v>0</v>
      </c>
      <c r="AM16" s="337">
        <f t="shared" si="36"/>
        <v>95181</v>
      </c>
      <c r="AN16" s="337">
        <f t="shared" si="6"/>
        <v>0</v>
      </c>
      <c r="AO16" s="337">
        <f t="shared" si="37"/>
        <v>95181</v>
      </c>
      <c r="AP16" s="338">
        <f t="shared" si="38"/>
        <v>0</v>
      </c>
      <c r="AQ16" s="339">
        <f t="shared" si="39"/>
        <v>0</v>
      </c>
      <c r="AR16" s="340">
        <f t="shared" si="40"/>
        <v>1</v>
      </c>
      <c r="AS16" s="337">
        <f t="shared" si="41"/>
        <v>0</v>
      </c>
      <c r="AT16" s="337">
        <f t="shared" si="42"/>
        <v>95181</v>
      </c>
      <c r="AU16" s="337">
        <f t="shared" si="7"/>
        <v>0</v>
      </c>
      <c r="AV16" s="337">
        <f t="shared" si="43"/>
        <v>95181</v>
      </c>
      <c r="AW16" s="338">
        <f t="shared" si="44"/>
        <v>0</v>
      </c>
      <c r="AX16" s="338">
        <f t="shared" si="45"/>
        <v>0</v>
      </c>
      <c r="AY16" s="341">
        <f t="shared" si="46"/>
        <v>95181</v>
      </c>
      <c r="AZ16" s="342">
        <f t="shared" si="47"/>
        <v>0</v>
      </c>
      <c r="BA16" s="338">
        <f t="shared" si="48"/>
        <v>-2647</v>
      </c>
      <c r="BB16" s="343" t="e">
        <f>+G16*#REF!</f>
        <v>#REF!</v>
      </c>
      <c r="BC16" s="337" t="e">
        <f>+G16*#REF!</f>
        <v>#REF!</v>
      </c>
      <c r="BD16" s="344" t="e">
        <f t="shared" si="49"/>
        <v>#REF!</v>
      </c>
      <c r="BE16" s="345"/>
      <c r="BF16" s="111" t="e">
        <f t="shared" si="50"/>
        <v>#REF!</v>
      </c>
      <c r="BG16" s="111">
        <v>21050</v>
      </c>
      <c r="BH16" s="111">
        <v>80333</v>
      </c>
    </row>
    <row r="17" spans="1:60" ht="18.75" customHeight="1">
      <c r="A17" s="321">
        <v>10</v>
      </c>
      <c r="B17" s="107">
        <v>109576</v>
      </c>
      <c r="C17" s="333">
        <f>VLOOKUP(A17,[1]Pivot!$A$4:$C$15,2,0)</f>
        <v>40636.978999999999</v>
      </c>
      <c r="D17" s="334">
        <f>VLOOKUP(A17,[1]Pivot!$A$4:$C$15,3,0)</f>
        <v>48593</v>
      </c>
      <c r="E17" s="108">
        <f t="shared" si="8"/>
        <v>100825</v>
      </c>
      <c r="F17" s="109">
        <f t="shared" si="0"/>
        <v>109576</v>
      </c>
      <c r="G17" s="335">
        <f t="shared" si="9"/>
        <v>107141</v>
      </c>
      <c r="H17" s="110">
        <f t="shared" si="10"/>
        <v>-2435</v>
      </c>
      <c r="I17" s="336">
        <f t="shared" si="11"/>
        <v>1</v>
      </c>
      <c r="J17" s="337">
        <f t="shared" si="1"/>
        <v>0</v>
      </c>
      <c r="K17" s="337">
        <f t="shared" si="12"/>
        <v>109576</v>
      </c>
      <c r="L17" s="337">
        <f t="shared" si="2"/>
        <v>0</v>
      </c>
      <c r="M17" s="337">
        <f t="shared" si="13"/>
        <v>109576</v>
      </c>
      <c r="N17" s="338">
        <f t="shared" si="14"/>
        <v>0</v>
      </c>
      <c r="O17" s="339">
        <f t="shared" si="15"/>
        <v>0</v>
      </c>
      <c r="P17" s="340">
        <f t="shared" si="16"/>
        <v>1</v>
      </c>
      <c r="Q17" s="337">
        <f t="shared" si="17"/>
        <v>0</v>
      </c>
      <c r="R17" s="337">
        <f t="shared" si="18"/>
        <v>109576</v>
      </c>
      <c r="S17" s="337">
        <f t="shared" si="3"/>
        <v>0</v>
      </c>
      <c r="T17" s="337">
        <f t="shared" si="19"/>
        <v>109576</v>
      </c>
      <c r="U17" s="338">
        <f t="shared" si="20"/>
        <v>0</v>
      </c>
      <c r="V17" s="339">
        <f t="shared" si="21"/>
        <v>0</v>
      </c>
      <c r="W17" s="340">
        <f t="shared" si="22"/>
        <v>1</v>
      </c>
      <c r="X17" s="337">
        <f t="shared" si="23"/>
        <v>0</v>
      </c>
      <c r="Y17" s="337">
        <f t="shared" si="24"/>
        <v>109576</v>
      </c>
      <c r="Z17" s="337">
        <f t="shared" si="4"/>
        <v>0</v>
      </c>
      <c r="AA17" s="337">
        <f t="shared" si="25"/>
        <v>109576</v>
      </c>
      <c r="AB17" s="338">
        <f t="shared" si="26"/>
        <v>0</v>
      </c>
      <c r="AC17" s="339">
        <f t="shared" si="27"/>
        <v>0</v>
      </c>
      <c r="AD17" s="340">
        <f t="shared" si="28"/>
        <v>1</v>
      </c>
      <c r="AE17" s="337">
        <f t="shared" si="29"/>
        <v>0</v>
      </c>
      <c r="AF17" s="337">
        <f t="shared" si="30"/>
        <v>109576</v>
      </c>
      <c r="AG17" s="337">
        <f t="shared" si="5"/>
        <v>0</v>
      </c>
      <c r="AH17" s="337">
        <f t="shared" si="31"/>
        <v>109576</v>
      </c>
      <c r="AI17" s="338">
        <f t="shared" si="32"/>
        <v>0</v>
      </c>
      <c r="AJ17" s="339">
        <f t="shared" si="33"/>
        <v>0</v>
      </c>
      <c r="AK17" s="340">
        <f t="shared" si="34"/>
        <v>1</v>
      </c>
      <c r="AL17" s="337">
        <f t="shared" si="35"/>
        <v>0</v>
      </c>
      <c r="AM17" s="337">
        <f t="shared" si="36"/>
        <v>109576</v>
      </c>
      <c r="AN17" s="337">
        <f t="shared" si="6"/>
        <v>0</v>
      </c>
      <c r="AO17" s="337">
        <f t="shared" si="37"/>
        <v>109576</v>
      </c>
      <c r="AP17" s="338">
        <f t="shared" si="38"/>
        <v>0</v>
      </c>
      <c r="AQ17" s="339">
        <f t="shared" si="39"/>
        <v>0</v>
      </c>
      <c r="AR17" s="340">
        <f t="shared" si="40"/>
        <v>1</v>
      </c>
      <c r="AS17" s="337">
        <f t="shared" si="41"/>
        <v>0</v>
      </c>
      <c r="AT17" s="337">
        <f t="shared" si="42"/>
        <v>109576</v>
      </c>
      <c r="AU17" s="337">
        <f t="shared" si="7"/>
        <v>0</v>
      </c>
      <c r="AV17" s="337">
        <f t="shared" si="43"/>
        <v>109576</v>
      </c>
      <c r="AW17" s="338">
        <f t="shared" si="44"/>
        <v>0</v>
      </c>
      <c r="AX17" s="338">
        <f t="shared" si="45"/>
        <v>0</v>
      </c>
      <c r="AY17" s="341">
        <f t="shared" si="46"/>
        <v>109576</v>
      </c>
      <c r="AZ17" s="342">
        <f t="shared" si="47"/>
        <v>0</v>
      </c>
      <c r="BA17" s="338">
        <f t="shared" si="48"/>
        <v>-2435</v>
      </c>
      <c r="BB17" s="343" t="e">
        <f>+G17*#REF!</f>
        <v>#REF!</v>
      </c>
      <c r="BC17" s="337" t="e">
        <f>+G17*#REF!</f>
        <v>#REF!</v>
      </c>
      <c r="BD17" s="344" t="e">
        <f t="shared" si="49"/>
        <v>#REF!</v>
      </c>
      <c r="BE17" s="345"/>
      <c r="BF17" s="111" t="e">
        <f t="shared" si="50"/>
        <v>#REF!</v>
      </c>
      <c r="BG17" s="111">
        <v>24046</v>
      </c>
      <c r="BH17" s="111">
        <v>91766</v>
      </c>
    </row>
    <row r="18" spans="1:60" ht="18.75" customHeight="1">
      <c r="A18" s="321">
        <v>11</v>
      </c>
      <c r="B18" s="107">
        <v>222295</v>
      </c>
      <c r="C18" s="333">
        <f>VLOOKUP(A18,[1]Pivot!$A$4:$C$15,2,0)</f>
        <v>125081.28499999997</v>
      </c>
      <c r="D18" s="334">
        <f>VLOOKUP(A18,[1]Pivot!$A$4:$C$15,3,0)</f>
        <v>109087</v>
      </c>
      <c r="E18" s="108">
        <f t="shared" si="8"/>
        <v>253829</v>
      </c>
      <c r="F18" s="109">
        <f t="shared" si="0"/>
        <v>253829</v>
      </c>
      <c r="G18" s="335">
        <f t="shared" si="9"/>
        <v>216654</v>
      </c>
      <c r="H18" s="110">
        <f t="shared" si="10"/>
        <v>-5641</v>
      </c>
      <c r="I18" s="336">
        <f t="shared" si="11"/>
        <v>0</v>
      </c>
      <c r="J18" s="337">
        <f t="shared" si="1"/>
        <v>253829</v>
      </c>
      <c r="K18" s="337">
        <f t="shared" si="12"/>
        <v>0</v>
      </c>
      <c r="L18" s="337">
        <f t="shared" si="2"/>
        <v>-48779</v>
      </c>
      <c r="M18" s="337">
        <f t="shared" si="13"/>
        <v>205050</v>
      </c>
      <c r="N18" s="338">
        <f t="shared" si="14"/>
        <v>-17245</v>
      </c>
      <c r="O18" s="339">
        <f t="shared" si="15"/>
        <v>1</v>
      </c>
      <c r="P18" s="340">
        <f t="shared" si="16"/>
        <v>1</v>
      </c>
      <c r="Q18" s="337">
        <f t="shared" si="17"/>
        <v>0</v>
      </c>
      <c r="R18" s="337">
        <f t="shared" si="18"/>
        <v>222295</v>
      </c>
      <c r="S18" s="337">
        <f t="shared" si="3"/>
        <v>0</v>
      </c>
      <c r="T18" s="337">
        <f t="shared" si="19"/>
        <v>222295</v>
      </c>
      <c r="U18" s="338">
        <f t="shared" si="20"/>
        <v>0</v>
      </c>
      <c r="V18" s="339">
        <f t="shared" si="21"/>
        <v>0</v>
      </c>
      <c r="W18" s="340">
        <f t="shared" si="22"/>
        <v>1</v>
      </c>
      <c r="X18" s="337">
        <f t="shared" si="23"/>
        <v>0</v>
      </c>
      <c r="Y18" s="337">
        <f t="shared" si="24"/>
        <v>222295</v>
      </c>
      <c r="Z18" s="337">
        <f t="shared" si="4"/>
        <v>0</v>
      </c>
      <c r="AA18" s="337">
        <f t="shared" si="25"/>
        <v>222295</v>
      </c>
      <c r="AB18" s="338">
        <f t="shared" si="26"/>
        <v>0</v>
      </c>
      <c r="AC18" s="339">
        <f t="shared" si="27"/>
        <v>0</v>
      </c>
      <c r="AD18" s="340">
        <f t="shared" si="28"/>
        <v>1</v>
      </c>
      <c r="AE18" s="337">
        <f t="shared" si="29"/>
        <v>0</v>
      </c>
      <c r="AF18" s="337">
        <f t="shared" si="30"/>
        <v>222295</v>
      </c>
      <c r="AG18" s="337">
        <f t="shared" si="5"/>
        <v>0</v>
      </c>
      <c r="AH18" s="337">
        <f t="shared" si="31"/>
        <v>222295</v>
      </c>
      <c r="AI18" s="338">
        <f t="shared" si="32"/>
        <v>0</v>
      </c>
      <c r="AJ18" s="339">
        <f t="shared" si="33"/>
        <v>0</v>
      </c>
      <c r="AK18" s="340">
        <f t="shared" si="34"/>
        <v>1</v>
      </c>
      <c r="AL18" s="337">
        <f t="shared" si="35"/>
        <v>0</v>
      </c>
      <c r="AM18" s="337">
        <f t="shared" si="36"/>
        <v>222295</v>
      </c>
      <c r="AN18" s="337">
        <f t="shared" si="6"/>
        <v>0</v>
      </c>
      <c r="AO18" s="337">
        <f t="shared" si="37"/>
        <v>222295</v>
      </c>
      <c r="AP18" s="338">
        <f t="shared" si="38"/>
        <v>0</v>
      </c>
      <c r="AQ18" s="339">
        <f t="shared" si="39"/>
        <v>0</v>
      </c>
      <c r="AR18" s="340">
        <f t="shared" si="40"/>
        <v>1</v>
      </c>
      <c r="AS18" s="337">
        <f t="shared" si="41"/>
        <v>0</v>
      </c>
      <c r="AT18" s="337">
        <f t="shared" si="42"/>
        <v>222295</v>
      </c>
      <c r="AU18" s="337">
        <f t="shared" si="7"/>
        <v>0</v>
      </c>
      <c r="AV18" s="337">
        <f t="shared" si="43"/>
        <v>222295</v>
      </c>
      <c r="AW18" s="338">
        <f t="shared" si="44"/>
        <v>0</v>
      </c>
      <c r="AX18" s="338">
        <f t="shared" si="45"/>
        <v>0</v>
      </c>
      <c r="AY18" s="341">
        <f t="shared" si="46"/>
        <v>222295</v>
      </c>
      <c r="AZ18" s="342">
        <f t="shared" si="47"/>
        <v>0</v>
      </c>
      <c r="BA18" s="338">
        <f t="shared" si="48"/>
        <v>-5641</v>
      </c>
      <c r="BB18" s="343" t="e">
        <f>+G18*#REF!</f>
        <v>#REF!</v>
      </c>
      <c r="BC18" s="337" t="e">
        <f>+G18*#REF!</f>
        <v>#REF!</v>
      </c>
      <c r="BD18" s="344" t="e">
        <f t="shared" si="49"/>
        <v>#REF!</v>
      </c>
      <c r="BE18" s="345"/>
      <c r="BF18" s="111" t="e">
        <f t="shared" si="50"/>
        <v>#REF!</v>
      </c>
      <c r="BG18" s="111">
        <v>49173</v>
      </c>
      <c r="BH18" s="111">
        <v>187657</v>
      </c>
    </row>
    <row r="19" spans="1:60" s="360" customFormat="1" ht="18.75" customHeight="1" thickBot="1">
      <c r="A19" s="346" t="s">
        <v>1</v>
      </c>
      <c r="B19" s="112">
        <f t="shared" ref="B19:H19" si="51">SUM(B8:B18)</f>
        <v>1461725</v>
      </c>
      <c r="C19" s="347">
        <f t="shared" si="51"/>
        <v>878153.92238022969</v>
      </c>
      <c r="D19" s="348">
        <f t="shared" si="51"/>
        <v>510694</v>
      </c>
      <c r="E19" s="113">
        <f t="shared" si="51"/>
        <v>1425837</v>
      </c>
      <c r="F19" s="114">
        <f t="shared" si="51"/>
        <v>1614852</v>
      </c>
      <c r="G19" s="349">
        <f t="shared" si="51"/>
        <v>1425837</v>
      </c>
      <c r="H19" s="115">
        <f t="shared" si="51"/>
        <v>-35888</v>
      </c>
      <c r="I19" s="350"/>
      <c r="J19" s="351">
        <f t="shared" ref="J19:O19" si="52">SUM(J8:J18)</f>
        <v>796812</v>
      </c>
      <c r="K19" s="351">
        <f t="shared" si="52"/>
        <v>818040</v>
      </c>
      <c r="L19" s="351">
        <f t="shared" si="52"/>
        <v>-153127</v>
      </c>
      <c r="M19" s="351">
        <f t="shared" si="52"/>
        <v>1461725</v>
      </c>
      <c r="N19" s="351">
        <f t="shared" si="52"/>
        <v>0</v>
      </c>
      <c r="O19" s="352">
        <f t="shared" si="52"/>
        <v>2</v>
      </c>
      <c r="P19" s="353"/>
      <c r="Q19" s="351">
        <f t="shared" ref="Q19:V19" si="53">SUM(Q8:Q18)</f>
        <v>341743</v>
      </c>
      <c r="R19" s="351">
        <f t="shared" si="53"/>
        <v>1156648</v>
      </c>
      <c r="S19" s="351">
        <f t="shared" si="53"/>
        <v>-36667</v>
      </c>
      <c r="T19" s="351">
        <f t="shared" si="53"/>
        <v>1461724</v>
      </c>
      <c r="U19" s="351">
        <f t="shared" si="53"/>
        <v>-1</v>
      </c>
      <c r="V19" s="352">
        <f t="shared" si="53"/>
        <v>2</v>
      </c>
      <c r="W19" s="353"/>
      <c r="X19" s="351">
        <f t="shared" ref="X19:AC19" si="54">SUM(X8:X18)</f>
        <v>99085</v>
      </c>
      <c r="Y19" s="351">
        <f t="shared" si="54"/>
        <v>1379134</v>
      </c>
      <c r="Z19" s="351">
        <f t="shared" si="54"/>
        <v>-16494</v>
      </c>
      <c r="AA19" s="351">
        <f t="shared" si="54"/>
        <v>1461725</v>
      </c>
      <c r="AB19" s="351">
        <f t="shared" si="54"/>
        <v>0</v>
      </c>
      <c r="AC19" s="352">
        <f t="shared" si="54"/>
        <v>0</v>
      </c>
      <c r="AD19" s="353"/>
      <c r="AE19" s="351">
        <f t="shared" ref="AE19:AJ19" si="55">SUM(AE8:AE18)</f>
        <v>82591</v>
      </c>
      <c r="AF19" s="351">
        <f t="shared" si="55"/>
        <v>1379134</v>
      </c>
      <c r="AG19" s="351">
        <f t="shared" si="55"/>
        <v>0</v>
      </c>
      <c r="AH19" s="351">
        <f t="shared" si="55"/>
        <v>1461725</v>
      </c>
      <c r="AI19" s="351">
        <f t="shared" si="55"/>
        <v>0</v>
      </c>
      <c r="AJ19" s="352">
        <f t="shared" si="55"/>
        <v>0</v>
      </c>
      <c r="AK19" s="353"/>
      <c r="AL19" s="351">
        <f t="shared" ref="AL19:AQ19" si="56">SUM(AL8:AL18)</f>
        <v>82591</v>
      </c>
      <c r="AM19" s="351">
        <f t="shared" si="56"/>
        <v>1379134</v>
      </c>
      <c r="AN19" s="351">
        <f t="shared" si="56"/>
        <v>0</v>
      </c>
      <c r="AO19" s="351">
        <f t="shared" si="56"/>
        <v>1461725</v>
      </c>
      <c r="AP19" s="351">
        <f t="shared" si="56"/>
        <v>0</v>
      </c>
      <c r="AQ19" s="352">
        <f t="shared" si="56"/>
        <v>0</v>
      </c>
      <c r="AR19" s="353"/>
      <c r="AS19" s="351">
        <f t="shared" ref="AS19:BB19" si="57">SUM(AS8:AS18)</f>
        <v>82591</v>
      </c>
      <c r="AT19" s="351">
        <f t="shared" si="57"/>
        <v>1379134</v>
      </c>
      <c r="AU19" s="351">
        <f t="shared" si="57"/>
        <v>0</v>
      </c>
      <c r="AV19" s="351">
        <f t="shared" si="57"/>
        <v>1461725</v>
      </c>
      <c r="AW19" s="351">
        <f t="shared" si="57"/>
        <v>0</v>
      </c>
      <c r="AX19" s="354">
        <f t="shared" si="57"/>
        <v>0</v>
      </c>
      <c r="AY19" s="355">
        <f t="shared" si="57"/>
        <v>1461724</v>
      </c>
      <c r="AZ19" s="116">
        <f>SUM(AZ8:AZ18)</f>
        <v>-1</v>
      </c>
      <c r="BA19" s="354">
        <f t="shared" si="57"/>
        <v>-35887</v>
      </c>
      <c r="BB19" s="356" t="e">
        <f t="shared" si="57"/>
        <v>#REF!</v>
      </c>
      <c r="BC19" s="357" t="e">
        <f>SUM(BC8:BC18)</f>
        <v>#REF!</v>
      </c>
      <c r="BD19" s="358" t="e">
        <f>SUM(BD8:BD18)</f>
        <v>#REF!</v>
      </c>
      <c r="BE19" s="359"/>
      <c r="BF19" s="111" t="e">
        <f t="shared" si="50"/>
        <v>#REF!</v>
      </c>
      <c r="BG19" s="152">
        <f>SUM(BG8:BG18)</f>
        <v>322142</v>
      </c>
      <c r="BH19" s="152">
        <f>SUM(BH8:BH18)</f>
        <v>1229380</v>
      </c>
    </row>
    <row r="20" spans="1:60">
      <c r="J20" s="361"/>
      <c r="K20" s="361"/>
      <c r="L20" s="361"/>
      <c r="M20" s="361"/>
      <c r="N20" s="361"/>
    </row>
    <row r="22" spans="1:60">
      <c r="A22" s="360" t="s">
        <v>136</v>
      </c>
    </row>
    <row r="23" spans="1:60">
      <c r="B23" s="362" t="s">
        <v>274</v>
      </c>
      <c r="C23" s="111">
        <v>1425837</v>
      </c>
      <c r="D23" s="363" t="s">
        <v>1</v>
      </c>
      <c r="E23" s="111">
        <f>+E19</f>
        <v>1425837</v>
      </c>
      <c r="F23" s="111"/>
      <c r="G23" s="117">
        <f>+G19</f>
        <v>1425837</v>
      </c>
      <c r="H23" s="111"/>
      <c r="I23" s="364"/>
      <c r="J23" s="364"/>
      <c r="K23" s="364"/>
      <c r="L23" s="364"/>
      <c r="M23" s="111">
        <f>+M19</f>
        <v>1461725</v>
      </c>
      <c r="N23" s="111"/>
      <c r="T23" s="111">
        <f>+T19</f>
        <v>1461724</v>
      </c>
      <c r="U23" s="111"/>
      <c r="AA23" s="111">
        <f>+AA19</f>
        <v>1461725</v>
      </c>
      <c r="AB23" s="111"/>
      <c r="AH23" s="111">
        <f>+AH19</f>
        <v>1461725</v>
      </c>
      <c r="AI23" s="111"/>
      <c r="AO23" s="111">
        <f>+AO19</f>
        <v>1461725</v>
      </c>
      <c r="AP23" s="111"/>
      <c r="AV23" s="111">
        <f>+AV19</f>
        <v>1461725</v>
      </c>
      <c r="AW23" s="111"/>
      <c r="AY23" s="111">
        <f>+AY19</f>
        <v>1461724</v>
      </c>
      <c r="AZ23" s="111"/>
      <c r="BB23" s="111" t="e">
        <f>+BB19</f>
        <v>#REF!</v>
      </c>
      <c r="BC23" s="111" t="e">
        <f>+BC19</f>
        <v>#REF!</v>
      </c>
      <c r="BD23" s="111" t="e">
        <f>+BD19</f>
        <v>#REF!</v>
      </c>
      <c r="BF23" s="111"/>
      <c r="BG23" s="365" t="e">
        <f>+#REF!</f>
        <v>#REF!</v>
      </c>
      <c r="BH23" s="365" t="e">
        <f>+#REF!</f>
        <v>#REF!</v>
      </c>
    </row>
    <row r="24" spans="1:60">
      <c r="B24" s="362" t="s">
        <v>250</v>
      </c>
      <c r="C24" s="119">
        <f>+B19</f>
        <v>1461725</v>
      </c>
      <c r="D24" s="363" t="s">
        <v>175</v>
      </c>
      <c r="E24" s="119">
        <f>+C23</f>
        <v>1425837</v>
      </c>
      <c r="F24" s="111"/>
      <c r="G24" s="118">
        <f>+C23</f>
        <v>1425837</v>
      </c>
      <c r="H24" s="120"/>
      <c r="M24" s="119">
        <f>+C24</f>
        <v>1461725</v>
      </c>
      <c r="N24" s="120"/>
      <c r="T24" s="119">
        <f>+C24</f>
        <v>1461725</v>
      </c>
      <c r="U24" s="120"/>
      <c r="AA24" s="119">
        <f>+C24</f>
        <v>1461725</v>
      </c>
      <c r="AB24" s="120"/>
      <c r="AH24" s="119">
        <f>+C24</f>
        <v>1461725</v>
      </c>
      <c r="AI24" s="120"/>
      <c r="AO24" s="119">
        <f>+C24</f>
        <v>1461725</v>
      </c>
      <c r="AP24" s="120"/>
      <c r="AV24" s="119">
        <f>+$C$24</f>
        <v>1461725</v>
      </c>
      <c r="AW24" s="120"/>
      <c r="AY24" s="119">
        <f>+C24</f>
        <v>1461725</v>
      </c>
      <c r="AZ24" s="120"/>
      <c r="BB24" s="119" t="e">
        <f>+#REF!</f>
        <v>#REF!</v>
      </c>
      <c r="BC24" s="119" t="e">
        <f>+#REF!</f>
        <v>#REF!</v>
      </c>
      <c r="BD24" s="119" t="e">
        <f>+#REF!</f>
        <v>#REF!</v>
      </c>
      <c r="BF24" s="120"/>
      <c r="BG24" s="366">
        <f>+BG19</f>
        <v>322142</v>
      </c>
      <c r="BH24" s="366">
        <f>+BH19</f>
        <v>1229380</v>
      </c>
    </row>
    <row r="25" spans="1:60">
      <c r="B25" s="362" t="s">
        <v>165</v>
      </c>
      <c r="C25" s="111">
        <f>+C23-C24</f>
        <v>-35888</v>
      </c>
      <c r="D25" s="363" t="s">
        <v>30</v>
      </c>
      <c r="E25" s="111">
        <f>+E23-E24</f>
        <v>0</v>
      </c>
      <c r="F25" s="111"/>
      <c r="G25" s="121">
        <f>+G23-G24</f>
        <v>0</v>
      </c>
      <c r="H25" s="111"/>
      <c r="M25" s="111">
        <f>+M23-M24</f>
        <v>0</v>
      </c>
      <c r="N25" s="111"/>
      <c r="T25" s="111">
        <f>+T23-T24</f>
        <v>-1</v>
      </c>
      <c r="U25" s="111"/>
      <c r="AA25" s="111">
        <f>+AA23-AA24</f>
        <v>0</v>
      </c>
      <c r="AB25" s="111"/>
      <c r="AH25" s="111">
        <f>+AH23-AH24</f>
        <v>0</v>
      </c>
      <c r="AI25" s="111"/>
      <c r="AO25" s="111">
        <f>+AO23-AO24</f>
        <v>0</v>
      </c>
      <c r="AP25" s="111"/>
      <c r="AV25" s="111">
        <f>+AV23-AV24</f>
        <v>0</v>
      </c>
      <c r="AW25" s="111"/>
      <c r="AY25" s="111">
        <f>+AY23-AY24</f>
        <v>-1</v>
      </c>
      <c r="AZ25" s="111"/>
      <c r="BB25" s="111" t="e">
        <f>+BB23-BB24</f>
        <v>#REF!</v>
      </c>
      <c r="BC25" s="111" t="e">
        <f>+BC23-BC24</f>
        <v>#REF!</v>
      </c>
      <c r="BD25" s="111" t="e">
        <f>+BD23-BD24</f>
        <v>#REF!</v>
      </c>
      <c r="BF25" s="111"/>
      <c r="BG25" s="365" t="e">
        <f>+BG23-BG24</f>
        <v>#REF!</v>
      </c>
      <c r="BH25" s="365" t="e">
        <f>+BH23-BH24</f>
        <v>#REF!</v>
      </c>
    </row>
    <row r="26" spans="1:60">
      <c r="C26" s="122"/>
    </row>
    <row r="27" spans="1:60">
      <c r="B27" s="362"/>
      <c r="C27" s="367"/>
      <c r="D27" s="367"/>
      <c r="AY27" s="111"/>
      <c r="AZ27" s="111"/>
      <c r="BA27" s="111"/>
    </row>
    <row r="28" spans="1:60" ht="15" customHeight="1">
      <c r="B28" s="362"/>
      <c r="D28" s="368"/>
      <c r="AY28" s="111"/>
      <c r="AZ28" s="111"/>
      <c r="BA28" s="111"/>
    </row>
    <row r="29" spans="1:60">
      <c r="B29" s="362"/>
      <c r="C29" s="368"/>
      <c r="D29" s="368"/>
      <c r="AY29" s="111"/>
      <c r="AZ29" s="111"/>
      <c r="BA29" s="111"/>
    </row>
    <row r="30" spans="1:60">
      <c r="B30" s="362"/>
      <c r="C30" s="368"/>
      <c r="D30" s="368"/>
    </row>
    <row r="31" spans="1:60">
      <c r="B31" s="362"/>
      <c r="C31" s="368"/>
      <c r="D31" s="368"/>
    </row>
    <row r="32" spans="1:60">
      <c r="B32" s="362"/>
      <c r="C32" s="368"/>
      <c r="D32" s="368"/>
    </row>
    <row r="33" spans="2:4">
      <c r="B33" s="362"/>
      <c r="C33" s="368"/>
      <c r="D33" s="368"/>
    </row>
    <row r="34" spans="2:4">
      <c r="B34" s="362"/>
      <c r="C34" s="368"/>
      <c r="D34" s="368"/>
    </row>
    <row r="35" spans="2:4">
      <c r="B35" s="362"/>
      <c r="C35" s="368"/>
      <c r="D35" s="368"/>
    </row>
    <row r="36" spans="2:4">
      <c r="B36" s="362"/>
      <c r="C36" s="368"/>
      <c r="D36" s="368"/>
    </row>
    <row r="37" spans="2:4">
      <c r="B37" s="362"/>
      <c r="C37" s="368"/>
      <c r="D37" s="368"/>
    </row>
    <row r="38" spans="2:4">
      <c r="B38" s="362"/>
      <c r="C38" s="368"/>
      <c r="D38" s="368"/>
    </row>
  </sheetData>
  <mergeCells count="11">
    <mergeCell ref="BG7:BH7"/>
    <mergeCell ref="C6:E6"/>
    <mergeCell ref="F6:H6"/>
    <mergeCell ref="I6:O6"/>
    <mergeCell ref="P6:V6"/>
    <mergeCell ref="W6:AC6"/>
    <mergeCell ref="AD6:AJ6"/>
    <mergeCell ref="AK6:AQ6"/>
    <mergeCell ref="AR6:AX6"/>
    <mergeCell ref="AY6:BA6"/>
    <mergeCell ref="BB6:BD6"/>
  </mergeCells>
  <pageMargins left="0.45" right="0.45" top="0.75" bottom="0.75" header="0.3" footer="0.3"/>
  <pageSetup paperSize="5" fitToHeight="0" orientation="landscape" r:id="rId1"/>
  <headerFooter>
    <oddFooter>&amp;C&amp;11Page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F16"/>
  <sheetViews>
    <sheetView workbookViewId="0">
      <selection activeCell="B9" sqref="B9"/>
    </sheetView>
  </sheetViews>
  <sheetFormatPr defaultRowHeight="15"/>
  <cols>
    <col min="1" max="1" width="8.77734375" style="9" customWidth="1"/>
    <col min="2" max="2" width="16.21875" style="9" bestFit="1" customWidth="1"/>
    <col min="3" max="3" width="16.44140625" style="9" bestFit="1" customWidth="1"/>
    <col min="4" max="4" width="15.77734375" style="9" bestFit="1" customWidth="1"/>
    <col min="5" max="5" width="14" style="9" bestFit="1" customWidth="1"/>
    <col min="6" max="6" width="18.21875" style="6" customWidth="1"/>
    <col min="7" max="16384" width="8.88671875" style="6"/>
  </cols>
  <sheetData>
    <row r="3" spans="1:6">
      <c r="B3" s="11" t="s">
        <v>114</v>
      </c>
      <c r="F3" s="95"/>
    </row>
    <row r="4" spans="1:6" s="7" customFormat="1" ht="45">
      <c r="A4" s="10" t="s">
        <v>5</v>
      </c>
      <c r="B4" s="8" t="s">
        <v>144</v>
      </c>
      <c r="C4" s="8" t="s">
        <v>145</v>
      </c>
      <c r="D4" s="8" t="s">
        <v>146</v>
      </c>
      <c r="E4" s="8" t="s">
        <v>259</v>
      </c>
      <c r="F4" s="96" t="s">
        <v>116</v>
      </c>
    </row>
    <row r="5" spans="1:6">
      <c r="A5" s="9">
        <v>1</v>
      </c>
      <c r="B5" s="12">
        <v>150712</v>
      </c>
      <c r="C5" s="12">
        <v>12739</v>
      </c>
      <c r="D5" s="12">
        <v>5382.0096339531574</v>
      </c>
      <c r="E5" s="12">
        <v>27754</v>
      </c>
      <c r="F5" s="97">
        <f>(B5/B$16)*0.35+(C5/C$16)*0.35+(D5/D$16)*0.15+(E5/E$16)*0.15</f>
        <v>2.7643182888835771E-2</v>
      </c>
    </row>
    <row r="6" spans="1:6">
      <c r="A6" s="9">
        <v>2</v>
      </c>
      <c r="B6" s="12">
        <v>146758</v>
      </c>
      <c r="C6" s="12">
        <v>15147</v>
      </c>
      <c r="D6" s="12">
        <v>7902.0737016195626</v>
      </c>
      <c r="E6" s="12">
        <v>29195</v>
      </c>
      <c r="F6" s="97">
        <f t="shared" ref="F6:F15" si="0">(B6/B$16)*0.35+(C6/C$16)*0.35+(D6/D$16)*0.15+(E6/E$16)*0.15</f>
        <v>3.0430567617910822E-2</v>
      </c>
    </row>
    <row r="7" spans="1:6">
      <c r="A7" s="9">
        <v>3</v>
      </c>
      <c r="B7" s="12">
        <v>518121</v>
      </c>
      <c r="C7" s="12">
        <v>47208</v>
      </c>
      <c r="D7" s="12">
        <v>14555.361368859212</v>
      </c>
      <c r="E7" s="12">
        <v>81908</v>
      </c>
      <c r="F7" s="97">
        <f t="shared" si="0"/>
        <v>9.294644061871743E-2</v>
      </c>
    </row>
    <row r="8" spans="1:6">
      <c r="A8" s="9">
        <v>4</v>
      </c>
      <c r="B8" s="12">
        <v>453206</v>
      </c>
      <c r="C8" s="12">
        <v>41763</v>
      </c>
      <c r="D8" s="12">
        <v>18891.794817659204</v>
      </c>
      <c r="E8" s="12">
        <v>73786</v>
      </c>
      <c r="F8" s="97">
        <f t="shared" si="0"/>
        <v>8.4842805284842518E-2</v>
      </c>
    </row>
    <row r="9" spans="1:6">
      <c r="A9" s="9">
        <v>5</v>
      </c>
      <c r="B9" s="12">
        <v>413165</v>
      </c>
      <c r="C9" s="12">
        <v>39713</v>
      </c>
      <c r="D9" s="12">
        <v>9953.7756842768013</v>
      </c>
      <c r="E9" s="12">
        <v>66530</v>
      </c>
      <c r="F9" s="97">
        <f t="shared" si="0"/>
        <v>7.5019663096573583E-2</v>
      </c>
    </row>
    <row r="10" spans="1:6">
      <c r="A10" s="9">
        <v>6</v>
      </c>
      <c r="B10" s="12">
        <v>540035</v>
      </c>
      <c r="C10" s="12">
        <v>56355</v>
      </c>
      <c r="D10" s="12">
        <v>30389.631508912295</v>
      </c>
      <c r="E10" s="12">
        <v>88605</v>
      </c>
      <c r="F10" s="97">
        <f t="shared" si="0"/>
        <v>0.10933234031020782</v>
      </c>
    </row>
    <row r="11" spans="1:6">
      <c r="A11" s="9">
        <v>7</v>
      </c>
      <c r="B11" s="12">
        <v>476426</v>
      </c>
      <c r="C11" s="12">
        <v>44528</v>
      </c>
      <c r="D11" s="12">
        <v>32820.002098706551</v>
      </c>
      <c r="E11" s="12">
        <v>78536</v>
      </c>
      <c r="F11" s="97">
        <f t="shared" si="0"/>
        <v>9.5704319138922314E-2</v>
      </c>
    </row>
    <row r="12" spans="1:6">
      <c r="A12" s="9">
        <v>8</v>
      </c>
      <c r="B12" s="12">
        <v>567258</v>
      </c>
      <c r="C12" s="12">
        <v>44293</v>
      </c>
      <c r="D12" s="12">
        <v>13896.716706133233</v>
      </c>
      <c r="E12" s="12">
        <v>70245</v>
      </c>
      <c r="F12" s="97">
        <f t="shared" si="0"/>
        <v>9.1984268275850628E-2</v>
      </c>
    </row>
    <row r="13" spans="1:6">
      <c r="A13" s="9">
        <v>9</v>
      </c>
      <c r="B13" s="12">
        <v>575385</v>
      </c>
      <c r="C13" s="12">
        <v>51268</v>
      </c>
      <c r="D13" s="12">
        <v>24209.608205034951</v>
      </c>
      <c r="E13" s="12">
        <v>81752</v>
      </c>
      <c r="F13" s="97">
        <f t="shared" si="0"/>
        <v>0.10429390695607295</v>
      </c>
    </row>
    <row r="14" spans="1:6">
      <c r="A14" s="9">
        <v>10</v>
      </c>
      <c r="B14" s="12">
        <v>383293</v>
      </c>
      <c r="C14" s="12">
        <v>48593</v>
      </c>
      <c r="D14" s="12">
        <v>34880.869767049291</v>
      </c>
      <c r="E14" s="12">
        <v>67067</v>
      </c>
      <c r="F14" s="97">
        <f t="shared" si="0"/>
        <v>9.0360393436161923E-2</v>
      </c>
    </row>
    <row r="15" spans="1:6">
      <c r="A15" s="9">
        <v>11</v>
      </c>
      <c r="B15" s="12">
        <v>544925</v>
      </c>
      <c r="C15" s="12">
        <v>109087</v>
      </c>
      <c r="D15" s="12">
        <v>136767.78425217347</v>
      </c>
      <c r="E15" s="12">
        <v>105074</v>
      </c>
      <c r="F15" s="97">
        <f t="shared" si="0"/>
        <v>0.1974421123759042</v>
      </c>
    </row>
    <row r="16" spans="1:6">
      <c r="A16" s="9" t="s">
        <v>115</v>
      </c>
      <c r="B16" s="12">
        <v>4769284</v>
      </c>
      <c r="C16" s="12">
        <v>510694</v>
      </c>
      <c r="D16" s="12">
        <v>329649.62774437771</v>
      </c>
      <c r="E16" s="12">
        <v>770452</v>
      </c>
      <c r="F16" s="98">
        <f>SUM(F5:F15)</f>
        <v>1</v>
      </c>
    </row>
  </sheetData>
  <pageMargins left="0.45" right="0.45" top="0.75" bottom="0.75" header="0.3" footer="0.3"/>
  <pageSetup paperSize="5" fitToHeight="0" orientation="landscape" r:id="rId2"/>
  <headerFooter>
    <oddFooter>&amp;C&amp;11Page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CH78"/>
  <sheetViews>
    <sheetView workbookViewId="0">
      <pane ySplit="3" topLeftCell="A55" activePane="bottomLeft" state="frozen"/>
      <selection activeCell="A29" sqref="A29"/>
      <selection pane="bottomLeft" activeCell="C72" sqref="C72:F72"/>
    </sheetView>
  </sheetViews>
  <sheetFormatPr defaultRowHeight="13.5"/>
  <cols>
    <col min="1" max="1" width="7.44140625" style="2" customWidth="1"/>
    <col min="2" max="2" width="10.21875" style="2" customWidth="1"/>
    <col min="3" max="3" width="10.44140625" style="2" bestFit="1" customWidth="1"/>
    <col min="4" max="5" width="10" style="2" customWidth="1"/>
    <col min="6" max="6" width="11.88671875" style="2" customWidth="1"/>
    <col min="7" max="7" width="2.6640625" style="1" customWidth="1"/>
    <col min="8" max="82" width="8.88671875" style="1"/>
    <col min="83" max="16384" width="8.88671875" style="2"/>
  </cols>
  <sheetData>
    <row r="1" spans="1:86">
      <c r="A1" s="397" t="s">
        <v>279</v>
      </c>
      <c r="B1" s="397"/>
      <c r="C1" s="397"/>
      <c r="D1" s="397"/>
      <c r="E1" s="397"/>
      <c r="F1" s="397"/>
    </row>
    <row r="2" spans="1:86">
      <c r="A2" s="398" t="s">
        <v>253</v>
      </c>
      <c r="B2" s="398"/>
      <c r="C2" s="398"/>
      <c r="D2" s="398"/>
      <c r="E2" s="398"/>
      <c r="F2" s="398"/>
    </row>
    <row r="3" spans="1:86" s="5" customFormat="1" ht="75">
      <c r="A3" s="310" t="s">
        <v>5</v>
      </c>
      <c r="B3" s="311" t="s">
        <v>46</v>
      </c>
      <c r="C3" s="312" t="s">
        <v>141</v>
      </c>
      <c r="D3" s="3" t="s">
        <v>142</v>
      </c>
      <c r="E3" s="3" t="s">
        <v>143</v>
      </c>
      <c r="F3" s="312" t="s">
        <v>254</v>
      </c>
      <c r="G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</row>
    <row r="4" spans="1:86" ht="15">
      <c r="A4" s="375">
        <v>1</v>
      </c>
      <c r="B4" s="376" t="s">
        <v>48</v>
      </c>
      <c r="C4" s="377">
        <v>65875</v>
      </c>
      <c r="D4" s="378">
        <v>6527</v>
      </c>
      <c r="E4" s="379">
        <v>4072.8114786767637</v>
      </c>
      <c r="F4" s="377">
        <v>13284</v>
      </c>
    </row>
    <row r="5" spans="1:86" ht="15">
      <c r="A5" s="375">
        <v>1</v>
      </c>
      <c r="B5" s="376" t="s">
        <v>49</v>
      </c>
      <c r="C5" s="377">
        <v>39245</v>
      </c>
      <c r="D5" s="378">
        <v>2512</v>
      </c>
      <c r="E5" s="379">
        <v>728.18230088495579</v>
      </c>
      <c r="F5" s="377">
        <v>6492</v>
      </c>
    </row>
    <row r="6" spans="1:86" ht="15">
      <c r="A6" s="375">
        <v>1</v>
      </c>
      <c r="B6" s="376" t="s">
        <v>50</v>
      </c>
      <c r="C6" s="377">
        <v>31494</v>
      </c>
      <c r="D6" s="378">
        <v>2313</v>
      </c>
      <c r="E6" s="379">
        <v>360.57007125890738</v>
      </c>
      <c r="F6" s="377">
        <v>5488</v>
      </c>
    </row>
    <row r="7" spans="1:86" ht="15">
      <c r="A7" s="375">
        <v>1</v>
      </c>
      <c r="B7" s="376" t="s">
        <v>51</v>
      </c>
      <c r="C7" s="377">
        <v>14098</v>
      </c>
      <c r="D7" s="378">
        <v>1387</v>
      </c>
      <c r="E7" s="379">
        <v>220.4457831325301</v>
      </c>
      <c r="F7" s="377">
        <v>2490</v>
      </c>
    </row>
    <row r="8" spans="1:86" ht="15">
      <c r="A8" s="375">
        <v>2</v>
      </c>
      <c r="B8" s="376" t="s">
        <v>52</v>
      </c>
      <c r="C8" s="377">
        <v>37137</v>
      </c>
      <c r="D8" s="378">
        <v>3307</v>
      </c>
      <c r="E8" s="379">
        <v>958.0434540389972</v>
      </c>
      <c r="F8" s="377">
        <v>6967</v>
      </c>
    </row>
    <row r="9" spans="1:86" ht="15">
      <c r="A9" s="375">
        <v>2</v>
      </c>
      <c r="B9" s="376" t="s">
        <v>53</v>
      </c>
      <c r="C9" s="377">
        <v>3267</v>
      </c>
      <c r="D9" s="380">
        <v>513</v>
      </c>
      <c r="E9" s="379">
        <v>188</v>
      </c>
      <c r="F9" s="377">
        <v>769</v>
      </c>
    </row>
    <row r="10" spans="1:86" ht="15">
      <c r="A10" s="375">
        <v>2</v>
      </c>
      <c r="B10" s="376" t="s">
        <v>54</v>
      </c>
      <c r="C10" s="377">
        <v>3034</v>
      </c>
      <c r="D10" s="380">
        <v>473</v>
      </c>
      <c r="E10" s="379">
        <v>34.243902439024389</v>
      </c>
      <c r="F10" s="377">
        <v>863</v>
      </c>
    </row>
    <row r="11" spans="1:86" ht="15">
      <c r="A11" s="375">
        <v>2</v>
      </c>
      <c r="B11" s="376" t="s">
        <v>55</v>
      </c>
      <c r="C11" s="377">
        <v>10242</v>
      </c>
      <c r="D11" s="378">
        <v>1601</v>
      </c>
      <c r="E11" s="379">
        <v>1550.9740259740261</v>
      </c>
      <c r="F11" s="377">
        <v>2005</v>
      </c>
    </row>
    <row r="12" spans="1:86" ht="15">
      <c r="A12" s="375">
        <v>2</v>
      </c>
      <c r="B12" s="376" t="s">
        <v>56</v>
      </c>
      <c r="C12" s="377">
        <v>3940</v>
      </c>
      <c r="D12" s="380">
        <v>449</v>
      </c>
      <c r="E12" s="379">
        <v>113.78400000000001</v>
      </c>
      <c r="F12" s="377">
        <v>822</v>
      </c>
    </row>
    <row r="13" spans="1:86" ht="15">
      <c r="A13" s="375">
        <v>2</v>
      </c>
      <c r="B13" s="376" t="s">
        <v>57</v>
      </c>
      <c r="C13" s="377">
        <v>4979</v>
      </c>
      <c r="D13" s="380">
        <v>741</v>
      </c>
      <c r="E13" s="379">
        <v>93.145454545454541</v>
      </c>
      <c r="F13" s="377">
        <v>1432</v>
      </c>
    </row>
    <row r="14" spans="1:86" ht="15">
      <c r="A14" s="375">
        <v>2</v>
      </c>
      <c r="B14" s="376" t="s">
        <v>58</v>
      </c>
      <c r="C14" s="377">
        <v>11720</v>
      </c>
      <c r="D14" s="378">
        <v>1587</v>
      </c>
      <c r="E14" s="379">
        <v>953.96790123456799</v>
      </c>
      <c r="F14" s="377">
        <v>2865</v>
      </c>
    </row>
    <row r="15" spans="1:86" s="1" customFormat="1" ht="15">
      <c r="A15" s="375">
        <v>2</v>
      </c>
      <c r="B15" s="376" t="s">
        <v>59</v>
      </c>
      <c r="C15" s="377">
        <v>3918</v>
      </c>
      <c r="D15" s="380">
        <v>370</v>
      </c>
      <c r="E15" s="379">
        <v>215.35565610859729</v>
      </c>
      <c r="F15" s="377">
        <v>740</v>
      </c>
      <c r="CE15" s="2"/>
      <c r="CF15" s="2"/>
      <c r="CG15" s="2"/>
      <c r="CH15" s="2"/>
    </row>
    <row r="16" spans="1:86" s="1" customFormat="1" ht="15">
      <c r="A16" s="375">
        <v>2</v>
      </c>
      <c r="B16" s="376" t="s">
        <v>60</v>
      </c>
      <c r="C16" s="377">
        <v>45710</v>
      </c>
      <c r="D16" s="378">
        <v>3498</v>
      </c>
      <c r="E16" s="379">
        <v>2670.9721106890938</v>
      </c>
      <c r="F16" s="377">
        <v>7022</v>
      </c>
      <c r="CE16" s="2"/>
      <c r="CF16" s="2"/>
      <c r="CG16" s="2"/>
      <c r="CH16" s="2"/>
    </row>
    <row r="17" spans="1:86" s="1" customFormat="1" ht="15">
      <c r="A17" s="375">
        <v>2</v>
      </c>
      <c r="B17" s="376" t="s">
        <v>61</v>
      </c>
      <c r="C17" s="377">
        <v>1400</v>
      </c>
      <c r="D17" s="380">
        <v>225</v>
      </c>
      <c r="E17" s="379">
        <v>92.215384615384608</v>
      </c>
      <c r="F17" s="377">
        <v>307</v>
      </c>
      <c r="CE17" s="2"/>
      <c r="CF17" s="2"/>
      <c r="CG17" s="2"/>
      <c r="CH17" s="2"/>
    </row>
    <row r="18" spans="1:86" s="1" customFormat="1" ht="15">
      <c r="A18" s="375">
        <v>2</v>
      </c>
      <c r="B18" s="376" t="s">
        <v>62</v>
      </c>
      <c r="C18" s="377">
        <v>4684</v>
      </c>
      <c r="D18" s="380">
        <v>639</v>
      </c>
      <c r="E18" s="379">
        <v>439.30441767068277</v>
      </c>
      <c r="F18" s="377">
        <v>1247</v>
      </c>
      <c r="CE18" s="2"/>
      <c r="CF18" s="2"/>
      <c r="CG18" s="2"/>
      <c r="CH18" s="2"/>
    </row>
    <row r="19" spans="1:86" s="1" customFormat="1" ht="15">
      <c r="A19" s="375">
        <v>2</v>
      </c>
      <c r="B19" s="376" t="s">
        <v>63</v>
      </c>
      <c r="C19" s="377">
        <v>5530</v>
      </c>
      <c r="D19" s="380">
        <v>641</v>
      </c>
      <c r="E19" s="379">
        <v>292.79136690647482</v>
      </c>
      <c r="F19" s="377">
        <v>1419</v>
      </c>
      <c r="CE19" s="2"/>
      <c r="CF19" s="2"/>
      <c r="CG19" s="2"/>
      <c r="CH19" s="2"/>
    </row>
    <row r="20" spans="1:86" s="1" customFormat="1" ht="15">
      <c r="A20" s="375">
        <v>2</v>
      </c>
      <c r="B20" s="376" t="s">
        <v>64</v>
      </c>
      <c r="C20" s="377">
        <v>5644</v>
      </c>
      <c r="D20" s="380">
        <v>498</v>
      </c>
      <c r="E20" s="379">
        <v>144.52602739726026</v>
      </c>
      <c r="F20" s="377">
        <v>1243</v>
      </c>
      <c r="CE20" s="2"/>
      <c r="CF20" s="2"/>
      <c r="CG20" s="2"/>
      <c r="CH20" s="2"/>
    </row>
    <row r="21" spans="1:86" s="1" customFormat="1" ht="15">
      <c r="A21" s="375">
        <v>2</v>
      </c>
      <c r="B21" s="376" t="s">
        <v>65</v>
      </c>
      <c r="C21" s="377">
        <v>5553</v>
      </c>
      <c r="D21" s="380">
        <v>605</v>
      </c>
      <c r="E21" s="379">
        <v>154.75</v>
      </c>
      <c r="F21" s="377">
        <v>1494</v>
      </c>
      <c r="CE21" s="2"/>
      <c r="CF21" s="2"/>
      <c r="CG21" s="2"/>
      <c r="CH21" s="2"/>
    </row>
    <row r="22" spans="1:86" s="1" customFormat="1" ht="15">
      <c r="A22" s="375">
        <v>3</v>
      </c>
      <c r="B22" s="376" t="s">
        <v>66</v>
      </c>
      <c r="C22" s="377">
        <v>44899</v>
      </c>
      <c r="D22" s="378">
        <v>4673</v>
      </c>
      <c r="E22" s="379">
        <v>2378.9293768545995</v>
      </c>
      <c r="F22" s="377">
        <v>7529</v>
      </c>
      <c r="CE22" s="2"/>
      <c r="CF22" s="2"/>
      <c r="CG22" s="2"/>
      <c r="CH22" s="2"/>
    </row>
    <row r="23" spans="1:86" s="1" customFormat="1" ht="15">
      <c r="A23" s="375">
        <v>3</v>
      </c>
      <c r="B23" s="376" t="s">
        <v>67</v>
      </c>
      <c r="C23" s="377">
        <v>6216</v>
      </c>
      <c r="D23" s="378">
        <v>1004</v>
      </c>
      <c r="E23" s="379">
        <v>371.7736526946108</v>
      </c>
      <c r="F23" s="377">
        <v>1636</v>
      </c>
      <c r="CE23" s="2"/>
      <c r="CF23" s="2"/>
      <c r="CG23" s="2"/>
      <c r="CH23" s="2"/>
    </row>
    <row r="24" spans="1:86" s="1" customFormat="1" ht="15">
      <c r="A24" s="375">
        <v>3</v>
      </c>
      <c r="B24" s="376" t="s">
        <v>68</v>
      </c>
      <c r="C24" s="377">
        <v>58637</v>
      </c>
      <c r="D24" s="378">
        <v>5473</v>
      </c>
      <c r="E24" s="379">
        <v>519.45053272450525</v>
      </c>
      <c r="F24" s="377">
        <v>8588</v>
      </c>
      <c r="CE24" s="2"/>
      <c r="CF24" s="2"/>
      <c r="CG24" s="2"/>
      <c r="CH24" s="2"/>
    </row>
    <row r="25" spans="1:86" s="1" customFormat="1" ht="15">
      <c r="A25" s="375">
        <v>3</v>
      </c>
      <c r="B25" s="376" t="s">
        <v>69</v>
      </c>
      <c r="C25" s="377">
        <v>15718</v>
      </c>
      <c r="D25" s="378">
        <v>1540</v>
      </c>
      <c r="E25" s="379">
        <v>544.57731958762884</v>
      </c>
      <c r="F25" s="377">
        <v>4014</v>
      </c>
      <c r="CE25" s="2"/>
      <c r="CF25" s="2"/>
      <c r="CG25" s="2"/>
      <c r="CH25" s="2"/>
    </row>
    <row r="26" spans="1:86" s="1" customFormat="1" ht="15">
      <c r="A26" s="375">
        <v>3</v>
      </c>
      <c r="B26" s="376" t="s">
        <v>70</v>
      </c>
      <c r="C26" s="377">
        <v>4694</v>
      </c>
      <c r="D26" s="380">
        <v>517</v>
      </c>
      <c r="E26" s="379">
        <v>77.430508474576271</v>
      </c>
      <c r="F26" s="377">
        <v>1057</v>
      </c>
      <c r="CE26" s="2"/>
      <c r="CF26" s="2"/>
      <c r="CG26" s="2"/>
      <c r="CH26" s="2"/>
    </row>
    <row r="27" spans="1:86" s="1" customFormat="1" ht="15">
      <c r="A27" s="375">
        <v>3</v>
      </c>
      <c r="B27" s="376" t="s">
        <v>71</v>
      </c>
      <c r="C27" s="377">
        <v>4345</v>
      </c>
      <c r="D27" s="380">
        <v>684</v>
      </c>
      <c r="E27" s="379">
        <v>74.435294117647061</v>
      </c>
      <c r="F27" s="377">
        <v>1004</v>
      </c>
      <c r="CE27" s="2"/>
      <c r="CF27" s="2"/>
      <c r="CG27" s="2"/>
      <c r="CH27" s="2"/>
    </row>
    <row r="28" spans="1:86" s="1" customFormat="1" ht="15">
      <c r="A28" s="375">
        <v>3</v>
      </c>
      <c r="B28" s="376" t="s">
        <v>72</v>
      </c>
      <c r="C28" s="377">
        <v>3188</v>
      </c>
      <c r="D28" s="380">
        <v>412</v>
      </c>
      <c r="E28" s="379">
        <v>535.23076923076917</v>
      </c>
      <c r="F28" s="377">
        <v>876</v>
      </c>
      <c r="CE28" s="2"/>
      <c r="CF28" s="2"/>
      <c r="CG28" s="2"/>
      <c r="CH28" s="2"/>
    </row>
    <row r="29" spans="1:86" s="1" customFormat="1" ht="15">
      <c r="A29" s="375">
        <v>3</v>
      </c>
      <c r="B29" s="376" t="s">
        <v>73</v>
      </c>
      <c r="C29" s="377">
        <v>58864</v>
      </c>
      <c r="D29" s="378">
        <v>4524</v>
      </c>
      <c r="E29" s="379">
        <v>1006.4682539682539</v>
      </c>
      <c r="F29" s="377">
        <v>10380</v>
      </c>
      <c r="CE29" s="2"/>
      <c r="CF29" s="2"/>
      <c r="CG29" s="2"/>
      <c r="CH29" s="2"/>
    </row>
    <row r="30" spans="1:86" s="1" customFormat="1" ht="15">
      <c r="A30" s="375">
        <v>3</v>
      </c>
      <c r="B30" s="376" t="s">
        <v>74</v>
      </c>
      <c r="C30" s="377">
        <v>1610</v>
      </c>
      <c r="D30" s="380">
        <v>257</v>
      </c>
      <c r="E30" s="379">
        <v>9.8000000000000007</v>
      </c>
      <c r="F30" s="377">
        <v>485</v>
      </c>
      <c r="CE30" s="2"/>
      <c r="CF30" s="2"/>
      <c r="CG30" s="2"/>
      <c r="CH30" s="2"/>
    </row>
    <row r="31" spans="1:86" s="1" customFormat="1" ht="15">
      <c r="A31" s="375">
        <v>3</v>
      </c>
      <c r="B31" s="376" t="s">
        <v>75</v>
      </c>
      <c r="C31" s="377">
        <v>96826</v>
      </c>
      <c r="D31" s="378">
        <v>7269</v>
      </c>
      <c r="E31" s="379">
        <v>2266.2518703241894</v>
      </c>
      <c r="F31" s="377">
        <v>13287</v>
      </c>
      <c r="CE31" s="2"/>
      <c r="CF31" s="2"/>
      <c r="CG31" s="2"/>
      <c r="CH31" s="2"/>
    </row>
    <row r="32" spans="1:86" s="1" customFormat="1" ht="15">
      <c r="A32" s="375">
        <v>3</v>
      </c>
      <c r="B32" s="376" t="s">
        <v>76</v>
      </c>
      <c r="C32" s="377">
        <v>11564</v>
      </c>
      <c r="D32" s="378">
        <v>1514</v>
      </c>
      <c r="E32" s="379">
        <v>405.94205607476641</v>
      </c>
      <c r="F32" s="377">
        <v>2372</v>
      </c>
      <c r="CE32" s="2"/>
      <c r="CF32" s="2"/>
      <c r="CG32" s="2"/>
      <c r="CH32" s="2"/>
    </row>
    <row r="33" spans="1:86" s="1" customFormat="1" ht="15">
      <c r="A33" s="375">
        <v>3</v>
      </c>
      <c r="B33" s="376" t="s">
        <v>77</v>
      </c>
      <c r="C33" s="377">
        <v>115200</v>
      </c>
      <c r="D33" s="378">
        <v>10730</v>
      </c>
      <c r="E33" s="379">
        <v>3924.7405405405402</v>
      </c>
      <c r="F33" s="377">
        <v>18077</v>
      </c>
      <c r="CE33" s="2"/>
      <c r="CF33" s="2"/>
      <c r="CG33" s="2"/>
      <c r="CH33" s="2"/>
    </row>
    <row r="34" spans="1:86" s="1" customFormat="1" ht="15">
      <c r="A34" s="375">
        <v>3</v>
      </c>
      <c r="B34" s="376" t="s">
        <v>78</v>
      </c>
      <c r="C34" s="377">
        <v>19739</v>
      </c>
      <c r="D34" s="378">
        <v>2789</v>
      </c>
      <c r="E34" s="379">
        <v>926.01284046692604</v>
      </c>
      <c r="F34" s="377">
        <v>3425</v>
      </c>
      <c r="CE34" s="2"/>
      <c r="CF34" s="2"/>
      <c r="CG34" s="2"/>
      <c r="CH34" s="2"/>
    </row>
    <row r="35" spans="1:86" s="1" customFormat="1" ht="15">
      <c r="A35" s="375">
        <v>3</v>
      </c>
      <c r="B35" s="376" t="s">
        <v>79</v>
      </c>
      <c r="C35" s="377">
        <v>62420</v>
      </c>
      <c r="D35" s="378">
        <v>3747</v>
      </c>
      <c r="E35" s="379">
        <v>738.96183206106878</v>
      </c>
      <c r="F35" s="377">
        <v>5691</v>
      </c>
      <c r="CE35" s="2"/>
      <c r="CF35" s="2"/>
      <c r="CG35" s="2"/>
      <c r="CH35" s="2"/>
    </row>
    <row r="36" spans="1:86" s="1" customFormat="1" ht="15">
      <c r="A36" s="375">
        <v>3</v>
      </c>
      <c r="B36" s="376" t="s">
        <v>80</v>
      </c>
      <c r="C36" s="377">
        <v>11369</v>
      </c>
      <c r="D36" s="378">
        <v>1703</v>
      </c>
      <c r="E36" s="379">
        <v>446.4</v>
      </c>
      <c r="F36" s="377">
        <v>2737</v>
      </c>
      <c r="CE36" s="2"/>
      <c r="CF36" s="2"/>
      <c r="CG36" s="2"/>
      <c r="CH36" s="2"/>
    </row>
    <row r="37" spans="1:86" s="1" customFormat="1" ht="15">
      <c r="A37" s="375">
        <v>3</v>
      </c>
      <c r="B37" s="376" t="s">
        <v>81</v>
      </c>
      <c r="C37" s="377">
        <v>2832</v>
      </c>
      <c r="D37" s="380">
        <v>372</v>
      </c>
      <c r="E37" s="379">
        <v>328.95652173913044</v>
      </c>
      <c r="F37" s="377">
        <v>750</v>
      </c>
      <c r="CE37" s="2"/>
      <c r="CF37" s="2"/>
      <c r="CG37" s="2"/>
      <c r="CH37" s="2"/>
    </row>
    <row r="38" spans="1:86" s="1" customFormat="1" ht="15">
      <c r="A38" s="375">
        <v>4</v>
      </c>
      <c r="B38" s="376" t="s">
        <v>82</v>
      </c>
      <c r="C38" s="377">
        <v>4764</v>
      </c>
      <c r="D38" s="380">
        <v>519</v>
      </c>
      <c r="E38" s="379">
        <v>83.6875</v>
      </c>
      <c r="F38" s="377">
        <v>1019</v>
      </c>
      <c r="CE38" s="2"/>
      <c r="CF38" s="2"/>
      <c r="CG38" s="2"/>
      <c r="CH38" s="2"/>
    </row>
    <row r="39" spans="1:86" s="1" customFormat="1" ht="15">
      <c r="A39" s="375">
        <v>4</v>
      </c>
      <c r="B39" s="376" t="s">
        <v>83</v>
      </c>
      <c r="C39" s="377">
        <v>37216</v>
      </c>
      <c r="D39" s="378">
        <v>2537</v>
      </c>
      <c r="E39" s="379">
        <v>610.92088998763904</v>
      </c>
      <c r="F39" s="377">
        <v>6272</v>
      </c>
      <c r="CE39" s="2"/>
      <c r="CF39" s="2"/>
      <c r="CG39" s="2"/>
      <c r="CH39" s="2"/>
    </row>
    <row r="40" spans="1:86" s="1" customFormat="1" ht="15">
      <c r="A40" s="375">
        <v>4</v>
      </c>
      <c r="B40" s="376" t="s">
        <v>84</v>
      </c>
      <c r="C40" s="377">
        <v>160558</v>
      </c>
      <c r="D40" s="378">
        <v>16501</v>
      </c>
      <c r="E40" s="379">
        <v>11158.914724776419</v>
      </c>
      <c r="F40" s="377">
        <v>29263</v>
      </c>
      <c r="CE40" s="2"/>
      <c r="CF40" s="2"/>
      <c r="CG40" s="2"/>
      <c r="CH40" s="2"/>
    </row>
    <row r="41" spans="1:86" s="1" customFormat="1" ht="15">
      <c r="A41" s="375">
        <v>4</v>
      </c>
      <c r="B41" s="376" t="s">
        <v>85</v>
      </c>
      <c r="C41" s="377">
        <v>33236</v>
      </c>
      <c r="D41" s="378">
        <v>3059</v>
      </c>
      <c r="E41" s="379">
        <v>958.65546218487395</v>
      </c>
      <c r="F41" s="377">
        <v>3765</v>
      </c>
      <c r="CE41" s="2"/>
      <c r="CF41" s="2"/>
      <c r="CG41" s="2"/>
      <c r="CH41" s="2"/>
    </row>
    <row r="42" spans="1:86" s="1" customFormat="1" ht="15">
      <c r="A42" s="375">
        <v>4</v>
      </c>
      <c r="B42" s="376" t="s">
        <v>86</v>
      </c>
      <c r="C42" s="377">
        <v>19632</v>
      </c>
      <c r="D42" s="378">
        <v>1697</v>
      </c>
      <c r="E42" s="379">
        <v>318.05405405405406</v>
      </c>
      <c r="F42" s="377">
        <v>3253</v>
      </c>
      <c r="CE42" s="2"/>
      <c r="CF42" s="2"/>
      <c r="CG42" s="2"/>
      <c r="CH42" s="2"/>
    </row>
    <row r="43" spans="1:86" s="1" customFormat="1" ht="15">
      <c r="A43" s="375">
        <v>4</v>
      </c>
      <c r="B43" s="376" t="s">
        <v>87</v>
      </c>
      <c r="C43" s="377">
        <v>49561</v>
      </c>
      <c r="D43" s="378">
        <v>3846</v>
      </c>
      <c r="E43" s="379">
        <v>1064.9958041958041</v>
      </c>
      <c r="F43" s="377">
        <v>6396</v>
      </c>
      <c r="CE43" s="2"/>
      <c r="CF43" s="2"/>
      <c r="CG43" s="2"/>
      <c r="CH43" s="2"/>
    </row>
    <row r="44" spans="1:86" s="1" customFormat="1" ht="15">
      <c r="A44" s="375">
        <v>4</v>
      </c>
      <c r="B44" s="376" t="s">
        <v>88</v>
      </c>
      <c r="C44" s="377">
        <v>148239</v>
      </c>
      <c r="D44" s="378">
        <v>13604</v>
      </c>
      <c r="E44" s="379">
        <v>4696.5663824604144</v>
      </c>
      <c r="F44" s="377">
        <v>23818</v>
      </c>
      <c r="CE44" s="2"/>
      <c r="CF44" s="2"/>
      <c r="CG44" s="2"/>
      <c r="CH44" s="2"/>
    </row>
    <row r="45" spans="1:86" s="1" customFormat="1" ht="15">
      <c r="A45" s="375">
        <v>5</v>
      </c>
      <c r="B45" s="376" t="s">
        <v>89</v>
      </c>
      <c r="C45" s="377">
        <v>133153</v>
      </c>
      <c r="D45" s="378">
        <v>12584</v>
      </c>
      <c r="E45" s="379">
        <v>2277.6754582029503</v>
      </c>
      <c r="F45" s="377">
        <v>20493</v>
      </c>
      <c r="CE45" s="2"/>
      <c r="CF45" s="2"/>
      <c r="CG45" s="2"/>
      <c r="CH45" s="2"/>
    </row>
    <row r="46" spans="1:86" s="1" customFormat="1" ht="15">
      <c r="A46" s="375">
        <v>5</v>
      </c>
      <c r="B46" s="376" t="s">
        <v>90</v>
      </c>
      <c r="C46" s="377">
        <v>280012</v>
      </c>
      <c r="D46" s="378">
        <v>27129</v>
      </c>
      <c r="E46" s="379">
        <v>7676.1002260738505</v>
      </c>
      <c r="F46" s="377">
        <v>46037</v>
      </c>
      <c r="CE46" s="2"/>
      <c r="CF46" s="2"/>
      <c r="CG46" s="2"/>
      <c r="CH46" s="2"/>
    </row>
    <row r="47" spans="1:86" s="1" customFormat="1" ht="15">
      <c r="A47" s="375">
        <v>6</v>
      </c>
      <c r="B47" s="376" t="s">
        <v>91</v>
      </c>
      <c r="C47" s="377">
        <v>5011</v>
      </c>
      <c r="D47" s="380">
        <v>986</v>
      </c>
      <c r="E47" s="379">
        <v>533.63101604278074</v>
      </c>
      <c r="F47" s="377">
        <v>1185</v>
      </c>
      <c r="CE47" s="2"/>
      <c r="CF47" s="2"/>
      <c r="CG47" s="2"/>
      <c r="CH47" s="2"/>
    </row>
    <row r="48" spans="1:86" s="1" customFormat="1" ht="15">
      <c r="A48" s="375">
        <v>6</v>
      </c>
      <c r="B48" s="376" t="s">
        <v>92</v>
      </c>
      <c r="C48" s="377">
        <v>39830</v>
      </c>
      <c r="D48" s="378">
        <v>4678</v>
      </c>
      <c r="E48" s="379">
        <v>1668.749354005168</v>
      </c>
      <c r="F48" s="377">
        <v>5890</v>
      </c>
      <c r="CE48" s="2"/>
      <c r="CF48" s="2"/>
      <c r="CG48" s="2"/>
      <c r="CH48" s="2"/>
    </row>
    <row r="49" spans="1:86" s="1" customFormat="1" ht="15">
      <c r="A49" s="375">
        <v>6</v>
      </c>
      <c r="B49" s="376" t="s">
        <v>93</v>
      </c>
      <c r="C49" s="377">
        <v>232762</v>
      </c>
      <c r="D49" s="378">
        <v>26411</v>
      </c>
      <c r="E49" s="379">
        <v>18833.753686727781</v>
      </c>
      <c r="F49" s="377">
        <v>41896</v>
      </c>
      <c r="CE49" s="2"/>
      <c r="CF49" s="2"/>
      <c r="CG49" s="2"/>
      <c r="CH49" s="2"/>
    </row>
    <row r="50" spans="1:86" s="1" customFormat="1" ht="15">
      <c r="A50" s="375">
        <v>6</v>
      </c>
      <c r="B50" s="376" t="s">
        <v>94</v>
      </c>
      <c r="C50" s="377">
        <v>105775</v>
      </c>
      <c r="D50" s="378">
        <v>8533</v>
      </c>
      <c r="E50" s="379">
        <v>1939.8333333333333</v>
      </c>
      <c r="F50" s="377">
        <v>13604</v>
      </c>
      <c r="CE50" s="2"/>
      <c r="CF50" s="2"/>
      <c r="CG50" s="2"/>
      <c r="CH50" s="2"/>
    </row>
    <row r="51" spans="1:86" s="1" customFormat="1" ht="15">
      <c r="A51" s="375">
        <v>6</v>
      </c>
      <c r="B51" s="376" t="s">
        <v>95</v>
      </c>
      <c r="C51" s="377">
        <v>156657</v>
      </c>
      <c r="D51" s="378">
        <v>15747</v>
      </c>
      <c r="E51" s="379">
        <v>7413.6641188032327</v>
      </c>
      <c r="F51" s="377">
        <v>26030</v>
      </c>
      <c r="CE51" s="2"/>
      <c r="CF51" s="2"/>
      <c r="CG51" s="2"/>
      <c r="CH51" s="2"/>
    </row>
    <row r="52" spans="1:86" s="1" customFormat="1" ht="15">
      <c r="A52" s="375">
        <v>7</v>
      </c>
      <c r="B52" s="376" t="s">
        <v>96</v>
      </c>
      <c r="C52" s="377">
        <v>156650</v>
      </c>
      <c r="D52" s="378">
        <v>12571</v>
      </c>
      <c r="E52" s="379">
        <v>3944.8231789872734</v>
      </c>
      <c r="F52" s="377">
        <v>25062</v>
      </c>
      <c r="CE52" s="2"/>
      <c r="CF52" s="2"/>
      <c r="CG52" s="2"/>
      <c r="CH52" s="2"/>
    </row>
    <row r="53" spans="1:86" s="1" customFormat="1" ht="15">
      <c r="A53" s="375">
        <v>7</v>
      </c>
      <c r="B53" s="376" t="s">
        <v>97</v>
      </c>
      <c r="C53" s="377">
        <v>185855</v>
      </c>
      <c r="D53" s="378">
        <v>20009</v>
      </c>
      <c r="E53" s="379">
        <v>19269.372648412158</v>
      </c>
      <c r="F53" s="377">
        <v>31353</v>
      </c>
      <c r="CE53" s="2"/>
      <c r="CF53" s="2"/>
      <c r="CG53" s="2"/>
      <c r="CH53" s="2"/>
    </row>
    <row r="54" spans="1:86" s="1" customFormat="1" ht="15">
      <c r="A54" s="375">
        <v>7</v>
      </c>
      <c r="B54" s="376" t="s">
        <v>98</v>
      </c>
      <c r="C54" s="377">
        <v>50112</v>
      </c>
      <c r="D54" s="378">
        <v>5459</v>
      </c>
      <c r="E54" s="379">
        <v>5829.8261089987318</v>
      </c>
      <c r="F54" s="377">
        <v>9137</v>
      </c>
      <c r="CE54" s="2"/>
      <c r="CF54" s="2"/>
      <c r="CG54" s="2"/>
      <c r="CH54" s="2"/>
    </row>
    <row r="55" spans="1:86" s="1" customFormat="1" ht="15">
      <c r="A55" s="375">
        <v>7</v>
      </c>
      <c r="B55" s="376" t="s">
        <v>99</v>
      </c>
      <c r="C55" s="377">
        <v>83809</v>
      </c>
      <c r="D55" s="378">
        <v>6489</v>
      </c>
      <c r="E55" s="379">
        <v>3775.9801623083858</v>
      </c>
      <c r="F55" s="377">
        <v>12984</v>
      </c>
      <c r="CE55" s="2"/>
      <c r="CF55" s="2"/>
      <c r="CG55" s="2"/>
      <c r="CH55" s="2"/>
    </row>
    <row r="56" spans="1:86" s="1" customFormat="1" ht="15">
      <c r="A56" s="375">
        <v>8</v>
      </c>
      <c r="B56" s="376" t="s">
        <v>100</v>
      </c>
      <c r="C56" s="377">
        <v>72272</v>
      </c>
      <c r="D56" s="378">
        <v>5285</v>
      </c>
      <c r="E56" s="379">
        <v>1196.8387776606953</v>
      </c>
      <c r="F56" s="377">
        <v>9191</v>
      </c>
      <c r="CE56" s="2"/>
      <c r="CF56" s="2"/>
      <c r="CG56" s="2"/>
      <c r="CH56" s="2"/>
    </row>
    <row r="57" spans="1:86" s="1" customFormat="1" ht="15">
      <c r="A57" s="375">
        <v>8</v>
      </c>
      <c r="B57" s="376" t="s">
        <v>101</v>
      </c>
      <c r="C57" s="377">
        <v>114750</v>
      </c>
      <c r="D57" s="378">
        <v>8637</v>
      </c>
      <c r="E57" s="379">
        <v>3504.3139915769771</v>
      </c>
      <c r="F57" s="377">
        <v>12119</v>
      </c>
      <c r="CE57" s="2"/>
      <c r="CF57" s="2"/>
      <c r="CG57" s="2"/>
      <c r="CH57" s="2"/>
    </row>
    <row r="58" spans="1:86" s="1" customFormat="1" ht="15">
      <c r="A58" s="375">
        <v>8</v>
      </c>
      <c r="B58" s="376" t="s">
        <v>197</v>
      </c>
      <c r="C58" s="377">
        <v>8331</v>
      </c>
      <c r="D58" s="378">
        <v>1294</v>
      </c>
      <c r="E58" s="379">
        <v>522.80597014925377</v>
      </c>
      <c r="F58" s="377">
        <v>1509</v>
      </c>
      <c r="CE58" s="2"/>
      <c r="CF58" s="2"/>
      <c r="CG58" s="2"/>
      <c r="CH58" s="2"/>
    </row>
    <row r="59" spans="1:86" s="1" customFormat="1" ht="15">
      <c r="A59" s="375">
        <v>8</v>
      </c>
      <c r="B59" s="376" t="s">
        <v>102</v>
      </c>
      <c r="C59" s="377">
        <v>3764</v>
      </c>
      <c r="D59" s="380">
        <v>460</v>
      </c>
      <c r="E59" s="379">
        <v>122.0060606060606</v>
      </c>
      <c r="F59" s="377">
        <v>662</v>
      </c>
      <c r="CE59" s="2"/>
      <c r="CF59" s="2"/>
      <c r="CG59" s="2"/>
      <c r="CH59" s="2"/>
    </row>
    <row r="60" spans="1:86" s="1" customFormat="1" ht="15">
      <c r="A60" s="375">
        <v>8</v>
      </c>
      <c r="B60" s="376" t="s">
        <v>103</v>
      </c>
      <c r="C60" s="377">
        <v>6437</v>
      </c>
      <c r="D60" s="378">
        <v>1025</v>
      </c>
      <c r="E60" s="379">
        <v>1049.5260663507108</v>
      </c>
      <c r="F60" s="377">
        <v>1508</v>
      </c>
      <c r="CE60" s="2"/>
      <c r="CF60" s="2"/>
      <c r="CG60" s="2"/>
      <c r="CH60" s="2"/>
    </row>
    <row r="61" spans="1:86" s="1" customFormat="1" ht="15">
      <c r="A61" s="375">
        <v>8</v>
      </c>
      <c r="B61" s="376" t="s">
        <v>104</v>
      </c>
      <c r="C61" s="377">
        <v>204966</v>
      </c>
      <c r="D61" s="378">
        <v>15971</v>
      </c>
      <c r="E61" s="379">
        <v>5520.1893714594007</v>
      </c>
      <c r="F61" s="377">
        <v>25507</v>
      </c>
      <c r="CE61" s="2"/>
      <c r="CF61" s="2"/>
      <c r="CG61" s="2"/>
      <c r="CH61" s="2"/>
    </row>
    <row r="62" spans="1:86" s="1" customFormat="1" ht="15">
      <c r="A62" s="375">
        <v>8</v>
      </c>
      <c r="B62" s="376" t="s">
        <v>105</v>
      </c>
      <c r="C62" s="377">
        <v>156738</v>
      </c>
      <c r="D62" s="378">
        <v>11621</v>
      </c>
      <c r="E62" s="379">
        <v>1981.0364683301343</v>
      </c>
      <c r="F62" s="377">
        <v>19749</v>
      </c>
      <c r="CE62" s="2"/>
      <c r="CF62" s="2"/>
      <c r="CG62" s="2"/>
      <c r="CH62" s="2"/>
    </row>
    <row r="63" spans="1:86" s="1" customFormat="1" ht="15">
      <c r="A63" s="375">
        <v>9</v>
      </c>
      <c r="B63" s="376" t="s">
        <v>106</v>
      </c>
      <c r="C63" s="377">
        <v>50066</v>
      </c>
      <c r="D63" s="378">
        <v>3942</v>
      </c>
      <c r="E63" s="379">
        <v>970.24010914051837</v>
      </c>
      <c r="F63" s="377">
        <v>6543</v>
      </c>
      <c r="CE63" s="2"/>
      <c r="CF63" s="2"/>
      <c r="CG63" s="2"/>
      <c r="CH63" s="2"/>
    </row>
    <row r="64" spans="1:86" s="1" customFormat="1" ht="15">
      <c r="A64" s="375">
        <v>9</v>
      </c>
      <c r="B64" s="376" t="s">
        <v>107</v>
      </c>
      <c r="C64" s="377">
        <v>53611</v>
      </c>
      <c r="D64" s="378">
        <v>3690</v>
      </c>
      <c r="E64" s="379">
        <v>730.16326530612241</v>
      </c>
      <c r="F64" s="377">
        <v>6923</v>
      </c>
      <c r="CE64" s="2"/>
      <c r="CF64" s="2"/>
      <c r="CG64" s="2"/>
      <c r="CH64" s="2"/>
    </row>
    <row r="65" spans="1:86" s="1" customFormat="1" ht="15">
      <c r="A65" s="375">
        <v>9</v>
      </c>
      <c r="B65" s="376" t="s">
        <v>108</v>
      </c>
      <c r="C65" s="377">
        <v>9222</v>
      </c>
      <c r="D65" s="378">
        <v>1359</v>
      </c>
      <c r="E65" s="379">
        <v>493.28961748633878</v>
      </c>
      <c r="F65" s="377">
        <v>2167</v>
      </c>
      <c r="CE65" s="2"/>
      <c r="CF65" s="2"/>
      <c r="CG65" s="2"/>
      <c r="CH65" s="2"/>
    </row>
    <row r="66" spans="1:86" s="1" customFormat="1" ht="15">
      <c r="A66" s="375">
        <v>9</v>
      </c>
      <c r="B66" s="376" t="s">
        <v>109</v>
      </c>
      <c r="C66" s="377">
        <v>386179</v>
      </c>
      <c r="D66" s="378">
        <v>34595</v>
      </c>
      <c r="E66" s="379">
        <v>18069.466961852861</v>
      </c>
      <c r="F66" s="377">
        <v>53920</v>
      </c>
      <c r="CE66" s="2"/>
      <c r="CF66" s="2"/>
      <c r="CG66" s="2"/>
      <c r="CH66" s="2"/>
    </row>
    <row r="67" spans="1:86" s="1" customFormat="1" ht="15">
      <c r="A67" s="375">
        <v>9</v>
      </c>
      <c r="B67" s="376" t="s">
        <v>110</v>
      </c>
      <c r="C67" s="377">
        <v>76307</v>
      </c>
      <c r="D67" s="378">
        <v>7682</v>
      </c>
      <c r="E67" s="379">
        <v>3946.4482512491081</v>
      </c>
      <c r="F67" s="377">
        <v>12199</v>
      </c>
      <c r="CE67" s="2"/>
      <c r="CF67" s="2"/>
      <c r="CG67" s="2"/>
      <c r="CH67" s="2"/>
    </row>
    <row r="68" spans="1:86" s="1" customFormat="1" ht="15">
      <c r="A68" s="375">
        <v>10</v>
      </c>
      <c r="B68" s="376" t="s">
        <v>111</v>
      </c>
      <c r="C68" s="377">
        <v>383293</v>
      </c>
      <c r="D68" s="378">
        <v>48593</v>
      </c>
      <c r="E68" s="379">
        <v>34880.869767049291</v>
      </c>
      <c r="F68" s="377">
        <v>67067</v>
      </c>
      <c r="CE68" s="2"/>
      <c r="CF68" s="2"/>
      <c r="CG68" s="2"/>
      <c r="CH68" s="2"/>
    </row>
    <row r="69" spans="1:86" s="1" customFormat="1" ht="15">
      <c r="A69" s="375">
        <v>11</v>
      </c>
      <c r="B69" s="376" t="s">
        <v>112</v>
      </c>
      <c r="C69" s="377">
        <v>523849</v>
      </c>
      <c r="D69" s="378">
        <v>106829</v>
      </c>
      <c r="E69" s="379">
        <v>136081.98425217348</v>
      </c>
      <c r="F69" s="377">
        <v>102465</v>
      </c>
      <c r="CE69" s="2"/>
      <c r="CF69" s="2"/>
      <c r="CG69" s="2"/>
      <c r="CH69" s="2"/>
    </row>
    <row r="70" spans="1:86" s="1" customFormat="1" ht="15">
      <c r="A70" s="375">
        <v>11</v>
      </c>
      <c r="B70" s="376" t="s">
        <v>113</v>
      </c>
      <c r="C70" s="377">
        <v>21076</v>
      </c>
      <c r="D70" s="378">
        <v>2258</v>
      </c>
      <c r="E70" s="379">
        <v>685.8</v>
      </c>
      <c r="F70" s="377">
        <v>2609</v>
      </c>
      <c r="CE70" s="2"/>
      <c r="CF70" s="2"/>
      <c r="CG70" s="2"/>
      <c r="CH70" s="2"/>
    </row>
    <row r="72" spans="1:86">
      <c r="C72" s="381">
        <f>SUM(C4:C71)</f>
        <v>4769284</v>
      </c>
      <c r="D72" s="381">
        <f t="shared" ref="D72:F72" si="0">SUM(D4:D71)</f>
        <v>510694</v>
      </c>
      <c r="E72" s="381">
        <f t="shared" si="0"/>
        <v>329649.62774437777</v>
      </c>
      <c r="F72" s="381">
        <f t="shared" si="0"/>
        <v>770452</v>
      </c>
    </row>
    <row r="73" spans="1:86" s="6" customFormat="1" ht="15">
      <c r="A73" s="6" t="s">
        <v>280</v>
      </c>
    </row>
    <row r="74" spans="1:86" s="6" customFormat="1" ht="15">
      <c r="A74" s="395" t="s">
        <v>281</v>
      </c>
      <c r="B74" s="395"/>
      <c r="C74" s="395"/>
      <c r="D74" s="395"/>
      <c r="E74" s="395"/>
      <c r="F74" s="395"/>
      <c r="G74" s="395"/>
      <c r="H74" s="395"/>
    </row>
    <row r="75" spans="1:86" s="6" customFormat="1" ht="15">
      <c r="A75" s="395" t="s">
        <v>282</v>
      </c>
      <c r="B75" s="395"/>
      <c r="C75" s="395"/>
      <c r="D75" s="395"/>
      <c r="E75" s="395"/>
      <c r="F75" s="395"/>
      <c r="G75" s="395"/>
      <c r="H75" s="395"/>
      <c r="I75" s="395"/>
      <c r="J75" s="395"/>
      <c r="K75" s="395"/>
    </row>
    <row r="76" spans="1:86" s="6" customFormat="1" ht="17.25">
      <c r="A76" s="396" t="s">
        <v>283</v>
      </c>
      <c r="B76" s="396"/>
      <c r="C76" s="396"/>
      <c r="D76" s="396"/>
      <c r="E76" s="396"/>
      <c r="F76" s="396"/>
      <c r="G76" s="396"/>
      <c r="H76" s="396"/>
      <c r="I76" s="396"/>
      <c r="J76" s="396"/>
    </row>
    <row r="77" spans="1:86" s="6" customFormat="1" ht="17.25">
      <c r="A77" s="396" t="s">
        <v>284</v>
      </c>
      <c r="B77" s="396"/>
      <c r="C77" s="396"/>
      <c r="D77" s="396"/>
      <c r="E77" s="396"/>
      <c r="F77" s="396"/>
      <c r="G77" s="396"/>
      <c r="H77" s="396"/>
      <c r="I77" s="396"/>
    </row>
    <row r="78" spans="1:86" s="6" customFormat="1" ht="17.25">
      <c r="A78" s="396" t="s">
        <v>285</v>
      </c>
      <c r="B78" s="396"/>
      <c r="C78" s="396"/>
      <c r="D78" s="396"/>
      <c r="E78" s="396"/>
      <c r="F78" s="396"/>
      <c r="G78" s="396"/>
      <c r="H78" s="396"/>
    </row>
  </sheetData>
  <mergeCells count="7">
    <mergeCell ref="A75:K75"/>
    <mergeCell ref="A76:J76"/>
    <mergeCell ref="A77:I77"/>
    <mergeCell ref="A78:H78"/>
    <mergeCell ref="A1:F1"/>
    <mergeCell ref="A2:F2"/>
    <mergeCell ref="A74:H74"/>
  </mergeCells>
  <pageMargins left="0.45" right="0.45" top="0.75" bottom="0.75" header="0.3" footer="0.3"/>
  <pageSetup paperSize="5" fitToHeight="0" orientation="landscape" r:id="rId1"/>
  <headerFooter>
    <oddFooter>&amp;C&amp;11Page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2:N28"/>
  <sheetViews>
    <sheetView workbookViewId="0">
      <selection activeCell="K11" sqref="K11"/>
    </sheetView>
  </sheetViews>
  <sheetFormatPr defaultRowHeight="15.75"/>
  <cols>
    <col min="1" max="1" width="5" style="83" customWidth="1"/>
    <col min="2" max="2" width="10.44140625" style="75" bestFit="1" customWidth="1"/>
    <col min="3" max="6" width="8.88671875" style="75"/>
    <col min="7" max="7" width="11.44140625" style="75" bestFit="1" customWidth="1"/>
    <col min="8" max="9" width="8.88671875" style="75"/>
    <col min="10" max="11" width="10.44140625" style="75" bestFit="1" customWidth="1"/>
    <col min="12" max="12" width="11.88671875" style="75" bestFit="1" customWidth="1"/>
    <col min="13" max="13" width="10.44140625" style="75" bestFit="1" customWidth="1"/>
    <col min="14" max="16384" width="8.88671875" style="75"/>
  </cols>
  <sheetData>
    <row r="2" spans="1:14">
      <c r="A2" s="399" t="s">
        <v>225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202"/>
    </row>
    <row r="3" spans="1:14">
      <c r="A3" s="399" t="s">
        <v>202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202"/>
    </row>
    <row r="4" spans="1:14">
      <c r="A4" s="399" t="s">
        <v>224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202"/>
    </row>
    <row r="5" spans="1:14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ht="16.5" thickBot="1"/>
    <row r="7" spans="1:14" s="224" customFormat="1" ht="15">
      <c r="A7" s="223"/>
      <c r="B7" s="223" t="s">
        <v>118</v>
      </c>
      <c r="C7" s="223" t="s">
        <v>203</v>
      </c>
      <c r="D7" s="223"/>
      <c r="E7" s="223" t="s">
        <v>119</v>
      </c>
      <c r="F7" s="223"/>
      <c r="G7" s="223" t="s">
        <v>204</v>
      </c>
      <c r="H7" s="223"/>
      <c r="I7" s="223"/>
      <c r="J7" s="223" t="s">
        <v>18</v>
      </c>
      <c r="K7" s="223" t="s">
        <v>1</v>
      </c>
      <c r="L7" s="223" t="s">
        <v>205</v>
      </c>
      <c r="M7" s="223" t="s">
        <v>206</v>
      </c>
    </row>
    <row r="8" spans="1:14" s="224" customFormat="1" ht="15">
      <c r="A8" s="225" t="s">
        <v>5</v>
      </c>
      <c r="B8" s="225" t="s">
        <v>120</v>
      </c>
      <c r="C8" s="225" t="s">
        <v>47</v>
      </c>
      <c r="D8" s="225" t="s">
        <v>121</v>
      </c>
      <c r="E8" s="225" t="s">
        <v>122</v>
      </c>
      <c r="F8" s="225" t="s">
        <v>123</v>
      </c>
      <c r="G8" s="225" t="s">
        <v>207</v>
      </c>
      <c r="H8" s="225" t="s">
        <v>123</v>
      </c>
      <c r="I8" s="225" t="s">
        <v>1</v>
      </c>
      <c r="J8" s="225" t="s">
        <v>124</v>
      </c>
      <c r="K8" s="225" t="s">
        <v>208</v>
      </c>
      <c r="L8" s="225" t="s">
        <v>209</v>
      </c>
      <c r="M8" s="225" t="s">
        <v>10</v>
      </c>
    </row>
    <row r="9" spans="1:14" s="224" customFormat="1" thickBot="1">
      <c r="A9" s="226"/>
      <c r="B9" s="226" t="s">
        <v>125</v>
      </c>
      <c r="C9" s="226" t="s">
        <v>126</v>
      </c>
      <c r="D9" s="226" t="s">
        <v>127</v>
      </c>
      <c r="E9" s="226" t="s">
        <v>128</v>
      </c>
      <c r="F9" s="226" t="s">
        <v>127</v>
      </c>
      <c r="G9" s="226" t="s">
        <v>129</v>
      </c>
      <c r="H9" s="226" t="s">
        <v>127</v>
      </c>
      <c r="I9" s="226" t="s">
        <v>130</v>
      </c>
      <c r="J9" s="226" t="s">
        <v>131</v>
      </c>
      <c r="K9" s="226" t="s">
        <v>210</v>
      </c>
      <c r="L9" s="226" t="s">
        <v>211</v>
      </c>
      <c r="M9" s="226" t="s">
        <v>212</v>
      </c>
    </row>
    <row r="10" spans="1:14">
      <c r="K10" s="211"/>
      <c r="L10" s="216"/>
      <c r="M10" s="218"/>
    </row>
    <row r="11" spans="1:14">
      <c r="A11" s="83" t="s">
        <v>213</v>
      </c>
      <c r="B11" s="189">
        <v>230000</v>
      </c>
      <c r="C11" s="190">
        <v>113999</v>
      </c>
      <c r="D11" s="191">
        <f t="shared" ref="D11:D21" si="0">SUM(C11/$C$23*0.5)</f>
        <v>1.5107565484582064E-2</v>
      </c>
      <c r="E11" s="192">
        <v>4</v>
      </c>
      <c r="F11" s="191">
        <f t="shared" ref="F11:F21" si="1">SUM(E11/$E$23*0.25)</f>
        <v>1.4925373134328358E-2</v>
      </c>
      <c r="G11" s="189">
        <v>1270736</v>
      </c>
      <c r="H11" s="191">
        <f t="shared" ref="H11:H21" si="2">SUM(G11/$G$23*0.25)</f>
        <v>7.582975946409983E-3</v>
      </c>
      <c r="I11" s="192">
        <f t="shared" ref="I11:I21" si="3">D11+F11+H11</f>
        <v>3.7615914565320402E-2</v>
      </c>
      <c r="J11" s="189">
        <f t="shared" ref="J11:J20" si="4">ROUND(I11*$J$26,0)</f>
        <v>93541</v>
      </c>
      <c r="K11" s="212">
        <f t="shared" ref="K11:K21" si="5">B11+J11</f>
        <v>323541</v>
      </c>
      <c r="L11" s="189">
        <f t="shared" ref="L11:L21" si="6">ROUND(346998*K11/$K$23,0)</f>
        <v>15769</v>
      </c>
      <c r="M11" s="219">
        <f t="shared" ref="M11:M21" si="7">SUM(K11:L11)</f>
        <v>339310</v>
      </c>
    </row>
    <row r="12" spans="1:14">
      <c r="A12" s="83" t="s">
        <v>214</v>
      </c>
      <c r="B12" s="189">
        <v>230000</v>
      </c>
      <c r="C12" s="190">
        <v>105341</v>
      </c>
      <c r="D12" s="191">
        <f t="shared" si="0"/>
        <v>1.396017557795559E-2</v>
      </c>
      <c r="E12" s="192">
        <v>14</v>
      </c>
      <c r="F12" s="191">
        <f t="shared" si="1"/>
        <v>5.2238805970149252E-2</v>
      </c>
      <c r="G12" s="189">
        <v>1575272</v>
      </c>
      <c r="H12" s="191">
        <f t="shared" si="2"/>
        <v>9.4002607032878157E-3</v>
      </c>
      <c r="I12" s="192">
        <f t="shared" si="3"/>
        <v>7.5599242251392654E-2</v>
      </c>
      <c r="J12" s="189">
        <f t="shared" si="4"/>
        <v>187995</v>
      </c>
      <c r="K12" s="212">
        <f t="shared" si="5"/>
        <v>417995</v>
      </c>
      <c r="L12" s="189">
        <f t="shared" si="6"/>
        <v>20372</v>
      </c>
      <c r="M12" s="219">
        <f t="shared" si="7"/>
        <v>438367</v>
      </c>
    </row>
    <row r="13" spans="1:14">
      <c r="A13" s="83" t="s">
        <v>215</v>
      </c>
      <c r="B13" s="189">
        <f>ROUND('[2]2003 OAA '!W17*0.07,0)</f>
        <v>441310</v>
      </c>
      <c r="C13" s="190">
        <v>380565</v>
      </c>
      <c r="D13" s="191">
        <f t="shared" si="0"/>
        <v>5.0433869232536892E-2</v>
      </c>
      <c r="E13" s="192">
        <v>16</v>
      </c>
      <c r="F13" s="191">
        <f t="shared" si="1"/>
        <v>5.9701492537313432E-2</v>
      </c>
      <c r="G13" s="189">
        <v>3749410</v>
      </c>
      <c r="H13" s="191">
        <f t="shared" si="2"/>
        <v>2.2374187748855037E-2</v>
      </c>
      <c r="I13" s="192">
        <f t="shared" si="3"/>
        <v>0.13250954951870536</v>
      </c>
      <c r="J13" s="189">
        <f t="shared" si="4"/>
        <v>329516</v>
      </c>
      <c r="K13" s="212">
        <f t="shared" si="5"/>
        <v>770826</v>
      </c>
      <c r="L13" s="189">
        <f t="shared" si="6"/>
        <v>37568</v>
      </c>
      <c r="M13" s="219">
        <f t="shared" si="7"/>
        <v>808394</v>
      </c>
    </row>
    <row r="14" spans="1:14">
      <c r="A14" s="83" t="s">
        <v>216</v>
      </c>
      <c r="B14" s="189">
        <f>ROUND('[2]2003 OAA '!W19*0.07,0)</f>
        <v>392419</v>
      </c>
      <c r="C14" s="190">
        <v>329783</v>
      </c>
      <c r="D14" s="191">
        <f t="shared" si="0"/>
        <v>4.3704052388195747E-2</v>
      </c>
      <c r="E14" s="192">
        <v>7</v>
      </c>
      <c r="F14" s="191">
        <f t="shared" si="1"/>
        <v>2.6119402985074626E-2</v>
      </c>
      <c r="G14" s="189">
        <v>3988358</v>
      </c>
      <c r="H14" s="191">
        <f t="shared" si="2"/>
        <v>2.3800083400227764E-2</v>
      </c>
      <c r="I14" s="192">
        <f t="shared" si="3"/>
        <v>9.3623538773498133E-2</v>
      </c>
      <c r="J14" s="189">
        <f t="shared" si="4"/>
        <v>232817</v>
      </c>
      <c r="K14" s="212">
        <f t="shared" si="5"/>
        <v>625236</v>
      </c>
      <c r="L14" s="189">
        <f t="shared" si="6"/>
        <v>30472</v>
      </c>
      <c r="M14" s="219">
        <f t="shared" si="7"/>
        <v>655708</v>
      </c>
    </row>
    <row r="15" spans="1:14">
      <c r="A15" s="83" t="s">
        <v>217</v>
      </c>
      <c r="B15" s="189">
        <f>ROUND('[2]2003 OAA '!W21*0.07,0)</f>
        <v>362827</v>
      </c>
      <c r="C15" s="190">
        <v>378441</v>
      </c>
      <c r="D15" s="191">
        <f t="shared" si="0"/>
        <v>5.0152388964383204E-2</v>
      </c>
      <c r="E15" s="192">
        <v>2</v>
      </c>
      <c r="F15" s="191">
        <f t="shared" si="1"/>
        <v>7.462686567164179E-3</v>
      </c>
      <c r="G15" s="189">
        <v>5959354</v>
      </c>
      <c r="H15" s="191">
        <f t="shared" si="2"/>
        <v>3.5561783122648696E-2</v>
      </c>
      <c r="I15" s="192">
        <f t="shared" si="3"/>
        <v>9.3176858654196087E-2</v>
      </c>
      <c r="J15" s="189">
        <f t="shared" si="4"/>
        <v>231706</v>
      </c>
      <c r="K15" s="212">
        <f t="shared" si="5"/>
        <v>594533</v>
      </c>
      <c r="L15" s="189">
        <f t="shared" si="6"/>
        <v>28976</v>
      </c>
      <c r="M15" s="219">
        <f t="shared" si="7"/>
        <v>623509</v>
      </c>
    </row>
    <row r="16" spans="1:14">
      <c r="A16" s="83" t="s">
        <v>218</v>
      </c>
      <c r="B16" s="189">
        <f>ROUND('[2]2003 OAA '!W23*0.07,0)</f>
        <v>505091</v>
      </c>
      <c r="C16" s="190">
        <v>421204</v>
      </c>
      <c r="D16" s="191">
        <f t="shared" si="0"/>
        <v>5.5819498525144111E-2</v>
      </c>
      <c r="E16" s="192">
        <v>5</v>
      </c>
      <c r="F16" s="191">
        <f t="shared" si="1"/>
        <v>1.8656716417910446E-2</v>
      </c>
      <c r="G16" s="189">
        <v>4329536</v>
      </c>
      <c r="H16" s="191">
        <f t="shared" si="2"/>
        <v>2.5836025222482163E-2</v>
      </c>
      <c r="I16" s="192">
        <f t="shared" si="3"/>
        <v>0.10031224016553672</v>
      </c>
      <c r="J16" s="189">
        <f t="shared" si="4"/>
        <v>249450</v>
      </c>
      <c r="K16" s="212">
        <f t="shared" si="5"/>
        <v>754541</v>
      </c>
      <c r="L16" s="189">
        <f t="shared" si="6"/>
        <v>36774</v>
      </c>
      <c r="M16" s="219">
        <f t="shared" si="7"/>
        <v>791315</v>
      </c>
    </row>
    <row r="17" spans="1:13">
      <c r="A17" s="83" t="s">
        <v>219</v>
      </c>
      <c r="B17" s="189">
        <f>ROUND('[2]2003 OAA '!W25*0.07,0)</f>
        <v>372608</v>
      </c>
      <c r="C17" s="190">
        <v>344373</v>
      </c>
      <c r="D17" s="191">
        <f t="shared" si="0"/>
        <v>4.5637572685918115E-2</v>
      </c>
      <c r="E17" s="192">
        <v>4</v>
      </c>
      <c r="F17" s="191">
        <f t="shared" si="1"/>
        <v>1.4925373134328358E-2</v>
      </c>
      <c r="G17" s="189">
        <v>3182592</v>
      </c>
      <c r="H17" s="191">
        <f t="shared" si="2"/>
        <v>1.8991764287182262E-2</v>
      </c>
      <c r="I17" s="192">
        <f t="shared" si="3"/>
        <v>7.9554710107428733E-2</v>
      </c>
      <c r="J17" s="189">
        <f t="shared" si="4"/>
        <v>197832</v>
      </c>
      <c r="K17" s="212">
        <f t="shared" si="5"/>
        <v>570440</v>
      </c>
      <c r="L17" s="189">
        <f t="shared" si="6"/>
        <v>27802</v>
      </c>
      <c r="M17" s="219">
        <f t="shared" si="7"/>
        <v>598242</v>
      </c>
    </row>
    <row r="18" spans="1:13">
      <c r="A18" s="83" t="s">
        <v>220</v>
      </c>
      <c r="B18" s="189">
        <f>ROUND('[2]2003 OAA '!W27*0.07,0)</f>
        <v>382582</v>
      </c>
      <c r="C18" s="190">
        <v>449503</v>
      </c>
      <c r="D18" s="191">
        <f t="shared" si="0"/>
        <v>5.9569785770191772E-2</v>
      </c>
      <c r="E18" s="192">
        <v>7</v>
      </c>
      <c r="F18" s="191">
        <f t="shared" si="1"/>
        <v>2.6119402985074626E-2</v>
      </c>
      <c r="G18" s="189">
        <v>3914198</v>
      </c>
      <c r="H18" s="191">
        <f t="shared" si="2"/>
        <v>2.3357541836767089E-2</v>
      </c>
      <c r="I18" s="192">
        <f t="shared" si="3"/>
        <v>0.10904673059203349</v>
      </c>
      <c r="J18" s="189">
        <f t="shared" si="4"/>
        <v>271170</v>
      </c>
      <c r="K18" s="212">
        <f t="shared" si="5"/>
        <v>653752</v>
      </c>
      <c r="L18" s="189">
        <f t="shared" si="6"/>
        <v>31862</v>
      </c>
      <c r="M18" s="219">
        <f t="shared" si="7"/>
        <v>685614</v>
      </c>
    </row>
    <row r="19" spans="1:13">
      <c r="A19" s="83" t="s">
        <v>221</v>
      </c>
      <c r="B19" s="189">
        <f>ROUND('[2]2003 OAA '!W29*0.07,0)</f>
        <v>459635</v>
      </c>
      <c r="C19" s="190">
        <v>481126</v>
      </c>
      <c r="D19" s="191">
        <f t="shared" si="0"/>
        <v>6.376058168347995E-2</v>
      </c>
      <c r="E19" s="192">
        <v>5</v>
      </c>
      <c r="F19" s="191">
        <f t="shared" si="1"/>
        <v>1.8656716417910446E-2</v>
      </c>
      <c r="G19" s="189">
        <v>3619625</v>
      </c>
      <c r="H19" s="191">
        <f t="shared" si="2"/>
        <v>2.159971017585418E-2</v>
      </c>
      <c r="I19" s="192">
        <f t="shared" si="3"/>
        <v>0.10401700827724458</v>
      </c>
      <c r="J19" s="189">
        <f t="shared" si="4"/>
        <v>258663</v>
      </c>
      <c r="K19" s="212">
        <f t="shared" si="5"/>
        <v>718298</v>
      </c>
      <c r="L19" s="189">
        <f t="shared" si="6"/>
        <v>35008</v>
      </c>
      <c r="M19" s="219">
        <f t="shared" si="7"/>
        <v>753306</v>
      </c>
    </row>
    <row r="20" spans="1:13">
      <c r="A20" s="83" t="s">
        <v>19</v>
      </c>
      <c r="B20" s="189">
        <f>ROUND('[2]2003 OAA '!W31*0.07,0)</f>
        <v>379722</v>
      </c>
      <c r="C20" s="190">
        <v>338417</v>
      </c>
      <c r="D20" s="191">
        <f t="shared" si="0"/>
        <v>4.4848261726820486E-2</v>
      </c>
      <c r="E20" s="192">
        <v>1</v>
      </c>
      <c r="F20" s="191">
        <f t="shared" si="1"/>
        <v>3.7313432835820895E-3</v>
      </c>
      <c r="G20" s="189">
        <v>5586876</v>
      </c>
      <c r="H20" s="191">
        <f t="shared" si="2"/>
        <v>3.3339062026711462E-2</v>
      </c>
      <c r="I20" s="192">
        <f t="shared" si="3"/>
        <v>8.1918667037114035E-2</v>
      </c>
      <c r="J20" s="189">
        <f t="shared" si="4"/>
        <v>203710</v>
      </c>
      <c r="K20" s="212">
        <f t="shared" si="5"/>
        <v>583432</v>
      </c>
      <c r="L20" s="189">
        <f t="shared" si="6"/>
        <v>28435</v>
      </c>
      <c r="M20" s="219">
        <f t="shared" si="7"/>
        <v>611867</v>
      </c>
    </row>
    <row r="21" spans="1:13">
      <c r="A21" s="193" t="s">
        <v>20</v>
      </c>
      <c r="B21" s="189">
        <f>ROUND('[2]2003 OAA '!W33*0.07,0)</f>
        <v>876821</v>
      </c>
      <c r="C21" s="190">
        <v>430159</v>
      </c>
      <c r="D21" s="191">
        <f t="shared" si="0"/>
        <v>5.7006247960792081E-2</v>
      </c>
      <c r="E21" s="192">
        <v>2</v>
      </c>
      <c r="F21" s="191">
        <f t="shared" si="1"/>
        <v>7.462686567164179E-3</v>
      </c>
      <c r="G21" s="189">
        <v>4718413</v>
      </c>
      <c r="H21" s="191">
        <f t="shared" si="2"/>
        <v>2.8156605529573542E-2</v>
      </c>
      <c r="I21" s="192">
        <f t="shared" si="3"/>
        <v>9.2625540057529793E-2</v>
      </c>
      <c r="J21" s="189">
        <f>ROUND(I21*$J$26,0)+1</f>
        <v>230336</v>
      </c>
      <c r="K21" s="212">
        <f t="shared" si="5"/>
        <v>1107157</v>
      </c>
      <c r="L21" s="189">
        <f t="shared" si="6"/>
        <v>53960</v>
      </c>
      <c r="M21" s="219">
        <f t="shared" si="7"/>
        <v>1161117</v>
      </c>
    </row>
    <row r="22" spans="1:13">
      <c r="B22" s="194"/>
      <c r="C22" s="195"/>
      <c r="D22" s="196"/>
      <c r="G22" s="194"/>
      <c r="K22" s="213"/>
      <c r="L22" s="209"/>
      <c r="M22" s="220"/>
    </row>
    <row r="23" spans="1:13" s="76" customFormat="1">
      <c r="A23" s="201" t="s">
        <v>1</v>
      </c>
      <c r="B23" s="204">
        <f t="shared" ref="B23:M23" si="8">SUM(B11:B21)</f>
        <v>4633015</v>
      </c>
      <c r="C23" s="205">
        <f t="shared" si="8"/>
        <v>3772911</v>
      </c>
      <c r="D23" s="206">
        <f t="shared" si="8"/>
        <v>0.5</v>
      </c>
      <c r="E23" s="76">
        <f t="shared" si="8"/>
        <v>67</v>
      </c>
      <c r="F23" s="206">
        <f t="shared" si="8"/>
        <v>0.24999999999999997</v>
      </c>
      <c r="G23" s="204">
        <f t="shared" si="8"/>
        <v>41894370</v>
      </c>
      <c r="H23" s="206">
        <f t="shared" si="8"/>
        <v>0.25</v>
      </c>
      <c r="I23" s="206">
        <f t="shared" si="8"/>
        <v>1.0000000000000002</v>
      </c>
      <c r="J23" s="204">
        <f t="shared" si="8"/>
        <v>2486736</v>
      </c>
      <c r="K23" s="214">
        <f t="shared" si="8"/>
        <v>7119751</v>
      </c>
      <c r="L23" s="217">
        <f t="shared" si="8"/>
        <v>346998</v>
      </c>
      <c r="M23" s="221">
        <f t="shared" si="8"/>
        <v>7466749</v>
      </c>
    </row>
    <row r="24" spans="1:13" ht="16.5" thickBot="1">
      <c r="A24" s="197"/>
      <c r="B24" s="198"/>
      <c r="C24" s="199"/>
      <c r="D24" s="198"/>
      <c r="E24" s="198"/>
      <c r="F24" s="198"/>
      <c r="G24" s="200"/>
      <c r="H24" s="198"/>
      <c r="I24" s="198"/>
      <c r="J24" s="198"/>
      <c r="K24" s="215"/>
      <c r="L24" s="200"/>
      <c r="M24" s="222"/>
    </row>
    <row r="25" spans="1:13">
      <c r="A25" s="84"/>
      <c r="B25" s="207"/>
      <c r="C25" s="208"/>
      <c r="D25" s="207"/>
      <c r="E25" s="207"/>
      <c r="F25" s="207"/>
      <c r="G25" s="209"/>
      <c r="H25" s="207"/>
      <c r="I25" s="207"/>
      <c r="J25" s="207"/>
      <c r="K25" s="209"/>
      <c r="L25" s="209"/>
      <c r="M25" s="209"/>
    </row>
    <row r="26" spans="1:13">
      <c r="H26" s="75" t="s">
        <v>222</v>
      </c>
      <c r="J26" s="194">
        <f>7119751-B23</f>
        <v>2486736</v>
      </c>
      <c r="K26" s="194"/>
      <c r="L26" s="194"/>
      <c r="M26" s="194"/>
    </row>
    <row r="27" spans="1:13">
      <c r="A27" s="201"/>
      <c r="B27" s="210" t="s">
        <v>132</v>
      </c>
      <c r="C27" s="75" t="s">
        <v>223</v>
      </c>
      <c r="K27" s="194"/>
      <c r="L27" s="194"/>
      <c r="M27" s="194"/>
    </row>
    <row r="28" spans="1:13">
      <c r="A28" s="201"/>
      <c r="B28" s="210" t="s">
        <v>133</v>
      </c>
      <c r="C28" s="75" t="s">
        <v>134</v>
      </c>
    </row>
  </sheetData>
  <mergeCells count="3">
    <mergeCell ref="A2:M2"/>
    <mergeCell ref="A3:M3"/>
    <mergeCell ref="A4:M4"/>
  </mergeCells>
  <pageMargins left="0.7" right="0.7" top="0.75" bottom="0.75" header="0.3" footer="0.3"/>
  <pageSetup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F16"/>
  <sheetViews>
    <sheetView workbookViewId="0">
      <selection activeCell="J33" sqref="J33"/>
    </sheetView>
  </sheetViews>
  <sheetFormatPr defaultRowHeight="15"/>
  <cols>
    <col min="1" max="1" width="9.6640625" style="9" customWidth="1"/>
    <col min="2" max="6" width="14" style="6" customWidth="1"/>
    <col min="7" max="16384" width="8.88671875" style="6"/>
  </cols>
  <sheetData>
    <row r="3" spans="1:6">
      <c r="B3" s="187" t="s">
        <v>114</v>
      </c>
      <c r="F3" s="95"/>
    </row>
    <row r="4" spans="1:6" s="7" customFormat="1" ht="45">
      <c r="A4" s="10" t="s">
        <v>5</v>
      </c>
      <c r="B4" s="7" t="s">
        <v>198</v>
      </c>
      <c r="C4" s="7" t="s">
        <v>199</v>
      </c>
      <c r="D4" s="7" t="s">
        <v>200</v>
      </c>
      <c r="E4" s="7" t="s">
        <v>201</v>
      </c>
      <c r="F4" s="96" t="s">
        <v>116</v>
      </c>
    </row>
    <row r="5" spans="1:6">
      <c r="A5" s="9">
        <v>1</v>
      </c>
      <c r="B5" s="188">
        <v>113999</v>
      </c>
      <c r="C5" s="188">
        <v>17125</v>
      </c>
      <c r="D5" s="188">
        <v>5439</v>
      </c>
      <c r="E5" s="188">
        <v>7240</v>
      </c>
      <c r="F5" s="97">
        <f>(B5/B$16)*0.35+(C5/C$16)*0.35+(D5/D$16)*0.15+(E5/E$16)*0.15</f>
        <v>3.2346433289943771E-2</v>
      </c>
    </row>
    <row r="6" spans="1:6">
      <c r="A6" s="9">
        <v>2</v>
      </c>
      <c r="B6" s="188">
        <v>105341</v>
      </c>
      <c r="C6" s="188">
        <v>21645</v>
      </c>
      <c r="D6" s="188">
        <v>8223</v>
      </c>
      <c r="E6" s="188">
        <v>7891</v>
      </c>
      <c r="F6" s="97">
        <f t="shared" ref="F6:F15" si="0">(B6/B$16)*0.35+(C6/C$16)*0.35+(D6/D$16)*0.15+(E6/E$16)*0.15</f>
        <v>3.7307159143496388E-2</v>
      </c>
    </row>
    <row r="7" spans="1:6">
      <c r="A7" s="9">
        <v>3</v>
      </c>
      <c r="B7" s="188">
        <v>380565</v>
      </c>
      <c r="C7" s="188">
        <v>53844</v>
      </c>
      <c r="D7" s="188">
        <v>12308</v>
      </c>
      <c r="E7" s="188">
        <v>20143</v>
      </c>
      <c r="F7" s="97">
        <f t="shared" si="0"/>
        <v>9.8387186533890128E-2</v>
      </c>
    </row>
    <row r="8" spans="1:6">
      <c r="A8" s="9">
        <v>4</v>
      </c>
      <c r="B8" s="188">
        <v>329783</v>
      </c>
      <c r="C8" s="188">
        <v>43597</v>
      </c>
      <c r="D8" s="188">
        <v>15613</v>
      </c>
      <c r="E8" s="188">
        <v>18716</v>
      </c>
      <c r="F8" s="97">
        <f t="shared" si="0"/>
        <v>8.7487139002079259E-2</v>
      </c>
    </row>
    <row r="9" spans="1:6">
      <c r="A9" s="9">
        <v>5</v>
      </c>
      <c r="B9" s="188">
        <v>378441</v>
      </c>
      <c r="C9" s="188">
        <v>38824</v>
      </c>
      <c r="D9" s="188">
        <v>6003</v>
      </c>
      <c r="E9" s="188">
        <v>17655</v>
      </c>
      <c r="F9" s="97">
        <f t="shared" si="0"/>
        <v>8.0889976371614575E-2</v>
      </c>
    </row>
    <row r="10" spans="1:6">
      <c r="A10" s="9">
        <v>6</v>
      </c>
      <c r="B10" s="188">
        <v>421204</v>
      </c>
      <c r="C10" s="188">
        <v>56234</v>
      </c>
      <c r="D10" s="188">
        <v>21884</v>
      </c>
      <c r="E10" s="188">
        <v>22677</v>
      </c>
      <c r="F10" s="97">
        <f t="shared" si="0"/>
        <v>0.11260679758662843</v>
      </c>
    </row>
    <row r="11" spans="1:6">
      <c r="A11" s="9">
        <v>7</v>
      </c>
      <c r="B11" s="188">
        <v>344373</v>
      </c>
      <c r="C11" s="188">
        <v>38241</v>
      </c>
      <c r="D11" s="188">
        <v>14230</v>
      </c>
      <c r="E11" s="188">
        <v>17539</v>
      </c>
      <c r="F11" s="97">
        <f t="shared" si="0"/>
        <v>8.307050472675212E-2</v>
      </c>
    </row>
    <row r="12" spans="1:6">
      <c r="A12" s="9">
        <v>8</v>
      </c>
      <c r="B12" s="188">
        <v>449503</v>
      </c>
      <c r="C12" s="188">
        <v>35550</v>
      </c>
      <c r="D12" s="188">
        <v>6265</v>
      </c>
      <c r="E12" s="188">
        <v>17673</v>
      </c>
      <c r="F12" s="97">
        <f t="shared" si="0"/>
        <v>8.5294045404828434E-2</v>
      </c>
    </row>
    <row r="13" spans="1:6">
      <c r="A13" s="9">
        <v>9</v>
      </c>
      <c r="B13" s="188">
        <v>481126</v>
      </c>
      <c r="C13" s="188">
        <v>45763</v>
      </c>
      <c r="D13" s="188">
        <v>12603</v>
      </c>
      <c r="E13" s="188">
        <v>20733</v>
      </c>
      <c r="F13" s="97">
        <f t="shared" si="0"/>
        <v>0.10247270052431458</v>
      </c>
    </row>
    <row r="14" spans="1:6">
      <c r="A14" s="9">
        <v>10</v>
      </c>
      <c r="B14" s="188">
        <v>338417</v>
      </c>
      <c r="C14" s="188">
        <v>40324</v>
      </c>
      <c r="D14" s="188">
        <v>13428</v>
      </c>
      <c r="E14" s="188">
        <v>19131</v>
      </c>
      <c r="F14" s="97">
        <f t="shared" si="0"/>
        <v>8.4656595220878122E-2</v>
      </c>
    </row>
    <row r="15" spans="1:6">
      <c r="A15" s="9">
        <v>11</v>
      </c>
      <c r="B15" s="188">
        <v>430159</v>
      </c>
      <c r="C15" s="188">
        <v>88720</v>
      </c>
      <c r="D15" s="188">
        <v>94851</v>
      </c>
      <c r="E15" s="188">
        <v>31293</v>
      </c>
      <c r="F15" s="97">
        <f t="shared" si="0"/>
        <v>0.19548146219557413</v>
      </c>
    </row>
    <row r="16" spans="1:6">
      <c r="A16" s="9" t="s">
        <v>115</v>
      </c>
      <c r="B16" s="188">
        <v>3772911</v>
      </c>
      <c r="C16" s="188">
        <v>479867</v>
      </c>
      <c r="D16" s="188">
        <v>210847</v>
      </c>
      <c r="E16" s="188">
        <v>200691</v>
      </c>
      <c r="F16" s="98">
        <f>SUM(F5:F15)</f>
        <v>0.99999999999999989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2F7D6FFC62B4B82084D86E85B4F39" ma:contentTypeVersion="1" ma:contentTypeDescription="Create a new document." ma:contentTypeScope="" ma:versionID="2c1b47178bdcb99d4e8e162d8516affa">
  <xsd:schema xmlns:xsd="http://www.w3.org/2001/XMLSchema" xmlns:xs="http://www.w3.org/2001/XMLSchema" xmlns:p="http://schemas.microsoft.com/office/2006/metadata/properties" xmlns:ns2="99a551fb-abbc-47a9-9388-c16ec2175b48" targetNamespace="http://schemas.microsoft.com/office/2006/metadata/properties" ma:root="true" ma:fieldsID="1b22ef73ebca10ae57f6a0974269096d" ns2:_="">
    <xsd:import namespace="99a551fb-abbc-47a9-9388-c16ec2175b4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551fb-abbc-47a9-9388-c16ec2175b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9a551fb-abbc-47a9-9388-c16ec2175b48">
      <UserInfo>
        <DisplayName>Marsha L Griffin</DisplayName>
        <AccountId>68</AccountId>
        <AccountType/>
      </UserInfo>
      <UserInfo>
        <DisplayName>Marcene Walsh</DisplayName>
        <AccountId>88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77172F-68DD-4048-8D9D-9A57D8699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551fb-abbc-47a9-9388-c16ec2175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5F32B8-18AE-48B7-902E-952EAB9CCBAF}">
  <ds:schemaRefs>
    <ds:schemaRef ds:uri="99a551fb-abbc-47a9-9388-c16ec2175b4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8090C87-5ABA-44F8-856A-3D0F5CB64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Summary by AAA</vt:lpstr>
      <vt:lpstr>2015 Award #2</vt:lpstr>
      <vt:lpstr>2015 Svcs &amp; Admin Allocation</vt:lpstr>
      <vt:lpstr>2015 Admin Formula </vt:lpstr>
      <vt:lpstr>2015 Title III-D Allocation</vt:lpstr>
      <vt:lpstr>Pivot - Demographics</vt:lpstr>
      <vt:lpstr>Demographics</vt:lpstr>
      <vt:lpstr>2003 Admin</vt:lpstr>
      <vt:lpstr>2003 Base Factors</vt:lpstr>
      <vt:lpstr>2003 Demographics</vt:lpstr>
      <vt:lpstr>'2015 Admin Formula '!Print_Area</vt:lpstr>
      <vt:lpstr>'2015 Award #2'!Print_Area</vt:lpstr>
      <vt:lpstr>'2015 Title III-D Allocation'!Print_Area</vt:lpstr>
      <vt:lpstr>Demographics!Print_Titles</vt:lpstr>
    </vt:vector>
  </TitlesOfParts>
  <Company>DOEA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Jon Manalo</cp:lastModifiedBy>
  <cp:lastPrinted>2014-04-15T12:49:46Z</cp:lastPrinted>
  <dcterms:created xsi:type="dcterms:W3CDTF">2011-06-09T17:24:00Z</dcterms:created>
  <dcterms:modified xsi:type="dcterms:W3CDTF">2015-02-10T18:42:20Z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0x010100CE22F7D6FFC62B4B82084D86E85B4F39</vt:lpwstr>
  </property>
</Properties>
</file>