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2.xml" ContentType="application/vnd.openxmlformats-officedocument.spreadsheetml.pivotCacheDefinition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420" yWindow="375" windowWidth="15480" windowHeight="10140" tabRatio="838"/>
  </bookViews>
  <sheets>
    <sheet name="Summary of Allocation with CF" sheetId="22" r:id="rId1"/>
    <sheet name="2012 CF OAA" sheetId="23" r:id="rId2"/>
    <sheet name="2012 CF IIID" sheetId="24" r:id="rId3"/>
    <sheet name="2013 Award #3" sheetId="8" r:id="rId4"/>
    <sheet name="2013 Award Sequestration" sheetId="25" r:id="rId5"/>
    <sheet name="2013 Svcs &amp; Admin Allocation" sheetId="1" r:id="rId6"/>
    <sheet name="2013 Admin Formula " sheetId="26" r:id="rId7"/>
    <sheet name="2013 Title III-D Allocation" sheetId="13" r:id="rId8"/>
    <sheet name="Pivot - Demographics" sheetId="6" r:id="rId9"/>
    <sheet name="Demographics" sheetId="4" r:id="rId10"/>
    <sheet name="2003 Admin" sheetId="20" r:id="rId11"/>
    <sheet name="2003 Base Factors" sheetId="19" r:id="rId12"/>
    <sheet name="2003 Demographics" sheetId="17" r:id="rId13"/>
  </sheets>
  <externalReferences>
    <externalReference r:id="rId14"/>
    <externalReference r:id="rId15"/>
    <externalReference r:id="rId16"/>
    <externalReference r:id="rId17"/>
  </externalReferences>
  <definedNames>
    <definedName name="_xlnm._FilterDatabase" localSheetId="12" hidden="1">'2003 Demographics'!$A$1:$F$68</definedName>
    <definedName name="Excel_BuiltIn_Print_Area" localSheetId="6">#REF!</definedName>
    <definedName name="Excel_BuiltIn_Print_Area" localSheetId="3">#REF!</definedName>
    <definedName name="Excel_BuiltIn_Print_Area" localSheetId="4">#REF!</definedName>
    <definedName name="Excel_BuiltIn_Print_Area" localSheetId="9">#REF!</definedName>
    <definedName name="Excel_BuiltIn_Print_Area" localSheetId="0">#REF!</definedName>
    <definedName name="Excel_BuiltIn_Print_Area">#REF!</definedName>
    <definedName name="_xlnm.Print_Area" localSheetId="2">'2012 CF IIID'!$A$1:$F$21</definedName>
    <definedName name="_xlnm.Print_Area" localSheetId="1">'2012 CF OAA'!$A$1:$I$21</definedName>
    <definedName name="_xlnm.Print_Area" localSheetId="6">'2013 Admin Formula '!$A$1:$P$33</definedName>
    <definedName name="_xlnm.Print_Area" localSheetId="4">#REF!</definedName>
    <definedName name="_xlnm.Print_Area" localSheetId="7">'2013 Title III-D Allocation'!$A$1:$BA$26</definedName>
    <definedName name="_xlnm.Print_Area">#REF!</definedName>
    <definedName name="_xlnm.Print_Titles" localSheetId="9">Demographics!$3:$3</definedName>
  </definedNames>
  <calcPr calcId="125725"/>
  <pivotCaches>
    <pivotCache cacheId="0" r:id="rId18"/>
    <pivotCache cacheId="1" r:id="rId19"/>
  </pivotCaches>
</workbook>
</file>

<file path=xl/calcChain.xml><?xml version="1.0" encoding="utf-8"?>
<calcChain xmlns="http://schemas.openxmlformats.org/spreadsheetml/2006/main">
  <c r="H23" i="23"/>
  <c r="I13" i="8"/>
  <c r="H13"/>
  <c r="G13"/>
  <c r="F13"/>
  <c r="E13"/>
  <c r="D13"/>
  <c r="C13"/>
  <c r="B13"/>
  <c r="I12" i="25"/>
  <c r="I13" s="1"/>
  <c r="H12"/>
  <c r="H13" s="1"/>
  <c r="G12"/>
  <c r="G13" s="1"/>
  <c r="F12"/>
  <c r="F13" s="1"/>
  <c r="E12"/>
  <c r="E13" s="1"/>
  <c r="D12"/>
  <c r="D13" s="1"/>
  <c r="C12"/>
  <c r="C13" s="1"/>
  <c r="B11"/>
  <c r="C21" i="26" l="1"/>
  <c r="C20"/>
  <c r="C19"/>
  <c r="C18"/>
  <c r="C17"/>
  <c r="C16"/>
  <c r="C15"/>
  <c r="C14"/>
  <c r="C13"/>
  <c r="C12"/>
  <c r="C11"/>
  <c r="L26" l="1"/>
  <c r="N22"/>
  <c r="G22"/>
  <c r="H21" s="1"/>
  <c r="E22"/>
  <c r="F21"/>
  <c r="H20"/>
  <c r="F20"/>
  <c r="H19"/>
  <c r="F19"/>
  <c r="H18"/>
  <c r="F18"/>
  <c r="H17"/>
  <c r="F17"/>
  <c r="H16"/>
  <c r="F16"/>
  <c r="H15"/>
  <c r="F15"/>
  <c r="H14"/>
  <c r="F14"/>
  <c r="H13"/>
  <c r="F13"/>
  <c r="H12"/>
  <c r="F12"/>
  <c r="H11"/>
  <c r="H22" s="1"/>
  <c r="F11"/>
  <c r="F22" s="1"/>
  <c r="C22"/>
  <c r="A1"/>
  <c r="D14" l="1"/>
  <c r="I14" s="1"/>
  <c r="D16"/>
  <c r="I16" s="1"/>
  <c r="D18"/>
  <c r="I18" s="1"/>
  <c r="D20"/>
  <c r="I20" s="1"/>
  <c r="D12"/>
  <c r="I12" s="1"/>
  <c r="D13"/>
  <c r="I13" s="1"/>
  <c r="D15"/>
  <c r="I15" s="1"/>
  <c r="D17"/>
  <c r="I17" s="1"/>
  <c r="D19"/>
  <c r="I19" s="1"/>
  <c r="D21"/>
  <c r="I21" s="1"/>
  <c r="D11"/>
  <c r="I11" l="1"/>
  <c r="D22"/>
  <c r="I22" l="1"/>
  <c r="B19" i="8" l="1"/>
  <c r="I20"/>
  <c r="H19"/>
  <c r="F49" i="22"/>
  <c r="B16" i="8" l="1"/>
  <c r="H12"/>
  <c r="I12"/>
  <c r="G12"/>
  <c r="F12"/>
  <c r="E12"/>
  <c r="D12"/>
  <c r="C12"/>
  <c r="B12" s="1"/>
  <c r="B10"/>
  <c r="I44" i="25"/>
  <c r="I45" s="1"/>
  <c r="F26"/>
  <c r="I20"/>
  <c r="B20" s="1"/>
  <c r="H19"/>
  <c r="B19" s="1"/>
  <c r="B16"/>
  <c r="G17" s="1"/>
  <c r="G22" s="1"/>
  <c r="B10"/>
  <c r="B12" s="1"/>
  <c r="B13" s="1"/>
  <c r="E36" i="22"/>
  <c r="U22"/>
  <c r="U21"/>
  <c r="U20"/>
  <c r="U19"/>
  <c r="U18"/>
  <c r="U17"/>
  <c r="U16"/>
  <c r="U15"/>
  <c r="U14"/>
  <c r="U13"/>
  <c r="U12"/>
  <c r="Q22"/>
  <c r="Q21"/>
  <c r="Q20"/>
  <c r="Q19"/>
  <c r="Q18"/>
  <c r="Q17"/>
  <c r="Q16"/>
  <c r="Q15"/>
  <c r="Q14"/>
  <c r="Q13"/>
  <c r="Q12"/>
  <c r="M22"/>
  <c r="M21"/>
  <c r="M20"/>
  <c r="M19"/>
  <c r="M18"/>
  <c r="M17"/>
  <c r="M16"/>
  <c r="M15"/>
  <c r="M14"/>
  <c r="M13"/>
  <c r="M12"/>
  <c r="I22"/>
  <c r="I21"/>
  <c r="I20"/>
  <c r="I19"/>
  <c r="I18"/>
  <c r="I17"/>
  <c r="I16"/>
  <c r="I15"/>
  <c r="I14"/>
  <c r="I13"/>
  <c r="I12"/>
  <c r="E22"/>
  <c r="E21"/>
  <c r="E20"/>
  <c r="E19"/>
  <c r="E18"/>
  <c r="E17"/>
  <c r="E16"/>
  <c r="E15"/>
  <c r="E14"/>
  <c r="E13"/>
  <c r="E12"/>
  <c r="E17" i="24"/>
  <c r="F17" s="1"/>
  <c r="E13"/>
  <c r="F13" s="1"/>
  <c r="E9"/>
  <c r="E32" i="22" s="1"/>
  <c r="F2" i="24"/>
  <c r="I2" i="23"/>
  <c r="F43" i="22"/>
  <c r="Z23"/>
  <c r="V23"/>
  <c r="R23"/>
  <c r="N23"/>
  <c r="J23"/>
  <c r="F23"/>
  <c r="F48" l="1"/>
  <c r="F50" s="1"/>
  <c r="I46" i="25"/>
  <c r="E40" i="22"/>
  <c r="U23"/>
  <c r="G23" i="25"/>
  <c r="G26" s="1"/>
  <c r="F17"/>
  <c r="F22" s="1"/>
  <c r="F24" s="1"/>
  <c r="F28" s="1"/>
  <c r="E17"/>
  <c r="E22" s="1"/>
  <c r="D17"/>
  <c r="D22" s="1"/>
  <c r="C17"/>
  <c r="E12" i="24"/>
  <c r="E15"/>
  <c r="E16"/>
  <c r="E11"/>
  <c r="E19"/>
  <c r="E10"/>
  <c r="E14"/>
  <c r="E18"/>
  <c r="D21"/>
  <c r="C21" i="23"/>
  <c r="H12"/>
  <c r="I12" s="1"/>
  <c r="H13"/>
  <c r="I13" s="1"/>
  <c r="H16"/>
  <c r="I16" s="1"/>
  <c r="E21"/>
  <c r="H11"/>
  <c r="I11" s="1"/>
  <c r="F21"/>
  <c r="H14"/>
  <c r="I14" s="1"/>
  <c r="H19"/>
  <c r="I19" s="1"/>
  <c r="G21"/>
  <c r="H10"/>
  <c r="I10" s="1"/>
  <c r="H17"/>
  <c r="I17" s="1"/>
  <c r="H15"/>
  <c r="I15" s="1"/>
  <c r="H18"/>
  <c r="I18" s="1"/>
  <c r="D21"/>
  <c r="F9" i="24"/>
  <c r="C21"/>
  <c r="H9" i="23"/>
  <c r="I23" i="22"/>
  <c r="Q23"/>
  <c r="M23"/>
  <c r="F14" i="24" l="1"/>
  <c r="E37" i="22"/>
  <c r="F18" i="24"/>
  <c r="E41" i="22"/>
  <c r="F15" i="24"/>
  <c r="E38" i="22"/>
  <c r="F11" i="24"/>
  <c r="E34" i="22"/>
  <c r="F10" i="24"/>
  <c r="E33" i="22"/>
  <c r="F12" i="24"/>
  <c r="E35" i="22"/>
  <c r="F16" i="24"/>
  <c r="E39" i="22"/>
  <c r="F19" i="24"/>
  <c r="E42" i="22"/>
  <c r="D23" i="25"/>
  <c r="D26" s="1"/>
  <c r="C22"/>
  <c r="B17"/>
  <c r="B22" s="1"/>
  <c r="G24"/>
  <c r="G28" s="1"/>
  <c r="E23"/>
  <c r="E26" s="1"/>
  <c r="E21" i="24"/>
  <c r="E23" i="22"/>
  <c r="E48" s="1"/>
  <c r="I9" i="23"/>
  <c r="H21"/>
  <c r="I21" s="1"/>
  <c r="E43" i="22" l="1"/>
  <c r="E49" s="1"/>
  <c r="G49" s="1"/>
  <c r="F21" i="24"/>
  <c r="G48" i="22"/>
  <c r="E24" i="25"/>
  <c r="E28" s="1"/>
  <c r="D24"/>
  <c r="D28" s="1"/>
  <c r="C23"/>
  <c r="C26" s="1"/>
  <c r="B26" s="1"/>
  <c r="B23"/>
  <c r="B24" s="1"/>
  <c r="E50" i="22" l="1"/>
  <c r="C24" i="25"/>
  <c r="C28" s="1"/>
  <c r="B28" s="1"/>
  <c r="G50" i="22"/>
  <c r="C22" i="1"/>
  <c r="C21"/>
  <c r="C20"/>
  <c r="C19"/>
  <c r="C18"/>
  <c r="C17"/>
  <c r="C16"/>
  <c r="C15"/>
  <c r="C14"/>
  <c r="C13"/>
  <c r="C12"/>
  <c r="G23" i="20"/>
  <c r="H21" s="1"/>
  <c r="E23"/>
  <c r="F16" s="1"/>
  <c r="C23"/>
  <c r="D13" s="1"/>
  <c r="B21"/>
  <c r="B20"/>
  <c r="B19"/>
  <c r="B18"/>
  <c r="B17"/>
  <c r="B16"/>
  <c r="H15"/>
  <c r="D15"/>
  <c r="B15"/>
  <c r="B14"/>
  <c r="B13"/>
  <c r="D12"/>
  <c r="F15" i="19"/>
  <c r="F14"/>
  <c r="F13"/>
  <c r="F12"/>
  <c r="F11"/>
  <c r="F10"/>
  <c r="F9"/>
  <c r="F8"/>
  <c r="F7"/>
  <c r="F6"/>
  <c r="F5"/>
  <c r="C23" i="1" l="1"/>
  <c r="F12" i="20"/>
  <c r="B23"/>
  <c r="J26" s="1"/>
  <c r="J11" s="1"/>
  <c r="H12"/>
  <c r="F17"/>
  <c r="F15"/>
  <c r="I15" s="1"/>
  <c r="H20"/>
  <c r="D18"/>
  <c r="D11"/>
  <c r="D14"/>
  <c r="D17"/>
  <c r="F20"/>
  <c r="F13"/>
  <c r="D16"/>
  <c r="D20"/>
  <c r="D19"/>
  <c r="F21"/>
  <c r="D21"/>
  <c r="H18"/>
  <c r="F18"/>
  <c r="H11"/>
  <c r="H14"/>
  <c r="F14"/>
  <c r="H19"/>
  <c r="H16"/>
  <c r="F19"/>
  <c r="H17"/>
  <c r="F11"/>
  <c r="H13"/>
  <c r="F16" i="19"/>
  <c r="I13" i="20" l="1"/>
  <c r="I12"/>
  <c r="J12" s="1"/>
  <c r="K12" s="1"/>
  <c r="I20"/>
  <c r="J20" s="1"/>
  <c r="K20" s="1"/>
  <c r="J15"/>
  <c r="K15" s="1"/>
  <c r="I16"/>
  <c r="J16" s="1"/>
  <c r="K16" s="1"/>
  <c r="J13"/>
  <c r="K13" s="1"/>
  <c r="D23"/>
  <c r="I17"/>
  <c r="J17" s="1"/>
  <c r="K17" s="1"/>
  <c r="I18"/>
  <c r="J18" s="1"/>
  <c r="K18" s="1"/>
  <c r="I19"/>
  <c r="J19" s="1"/>
  <c r="K19" s="1"/>
  <c r="H23"/>
  <c r="I21"/>
  <c r="J21" s="1"/>
  <c r="K21" s="1"/>
  <c r="F23"/>
  <c r="I11"/>
  <c r="I14"/>
  <c r="J14" s="1"/>
  <c r="K14" s="1"/>
  <c r="I23" l="1"/>
  <c r="J23" l="1"/>
  <c r="K11"/>
  <c r="K23" l="1"/>
  <c r="L11" s="1"/>
  <c r="M11" s="1"/>
  <c r="L19" l="1"/>
  <c r="M19" s="1"/>
  <c r="L17"/>
  <c r="M17" s="1"/>
  <c r="L16"/>
  <c r="M16" s="1"/>
  <c r="L15"/>
  <c r="M15" s="1"/>
  <c r="L20"/>
  <c r="M20" s="1"/>
  <c r="L18"/>
  <c r="M18" s="1"/>
  <c r="L13"/>
  <c r="M13" s="1"/>
  <c r="L21"/>
  <c r="M21" s="1"/>
  <c r="L12"/>
  <c r="M12" s="1"/>
  <c r="L14"/>
  <c r="M14" s="1"/>
  <c r="M23" l="1"/>
  <c r="L23"/>
  <c r="D8" i="13" l="1"/>
  <c r="A1" l="1"/>
  <c r="A1" i="1"/>
  <c r="BE23" i="13" l="1"/>
  <c r="BE19"/>
  <c r="BE24" s="1"/>
  <c r="BD19"/>
  <c r="BD24" s="1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C8"/>
  <c r="BD23" l="1"/>
  <c r="BD25" s="1"/>
  <c r="BE25"/>
  <c r="B19"/>
  <c r="D19"/>
  <c r="C19"/>
  <c r="F26" i="8" l="1"/>
  <c r="N22" i="1" l="1"/>
  <c r="N23"/>
  <c r="G17" i="8" l="1"/>
  <c r="G22" s="1"/>
  <c r="F17"/>
  <c r="F22" s="1"/>
  <c r="E17"/>
  <c r="E22" s="1"/>
  <c r="D17"/>
  <c r="D22" s="1"/>
  <c r="C17" l="1"/>
  <c r="C22" s="1"/>
  <c r="I44" l="1"/>
  <c r="G23"/>
  <c r="E23"/>
  <c r="E26" s="1"/>
  <c r="B20"/>
  <c r="B11"/>
  <c r="F15" i="6"/>
  <c r="D22" i="1" s="1"/>
  <c r="F14" i="6"/>
  <c r="D21" i="1" s="1"/>
  <c r="F13" i="6"/>
  <c r="D20" i="1" s="1"/>
  <c r="F12" i="6"/>
  <c r="D19" i="1" s="1"/>
  <c r="F11" i="6"/>
  <c r="D18" i="1" s="1"/>
  <c r="F10" i="6"/>
  <c r="D17" i="1" s="1"/>
  <c r="F9" i="6"/>
  <c r="D16" i="1" s="1"/>
  <c r="F8" i="6"/>
  <c r="D15" i="1" s="1"/>
  <c r="F7" i="6"/>
  <c r="D14" i="1" s="1"/>
  <c r="F6" i="6"/>
  <c r="D13" i="1" s="1"/>
  <c r="F5" i="6"/>
  <c r="D12" i="1" s="1"/>
  <c r="E23"/>
  <c r="K22"/>
  <c r="K23" s="1"/>
  <c r="K28" s="1"/>
  <c r="H22"/>
  <c r="I45" i="8" l="1"/>
  <c r="I46" s="1"/>
  <c r="G24"/>
  <c r="F24"/>
  <c r="C24" i="13" s="1"/>
  <c r="E8" s="1"/>
  <c r="C23" i="8"/>
  <c r="C26" s="1"/>
  <c r="D23"/>
  <c r="D26" s="1"/>
  <c r="B23"/>
  <c r="J26" i="26" s="1"/>
  <c r="K26" s="1"/>
  <c r="E24" i="8"/>
  <c r="B17"/>
  <c r="B22" s="1"/>
  <c r="D23" i="1"/>
  <c r="E28"/>
  <c r="F16" i="6"/>
  <c r="H23" i="1"/>
  <c r="H28" s="1"/>
  <c r="N28"/>
  <c r="AA24" i="13" l="1"/>
  <c r="AH24"/>
  <c r="AO24"/>
  <c r="AV24"/>
  <c r="T24"/>
  <c r="AY24"/>
  <c r="E24"/>
  <c r="G24"/>
  <c r="M24"/>
  <c r="E16"/>
  <c r="E18"/>
  <c r="E11"/>
  <c r="E14"/>
  <c r="F8"/>
  <c r="E9"/>
  <c r="C25"/>
  <c r="E10"/>
  <c r="E17"/>
  <c r="E13"/>
  <c r="E12"/>
  <c r="E15"/>
  <c r="K27" i="1"/>
  <c r="K29" s="1"/>
  <c r="L8" s="1"/>
  <c r="L12" s="1"/>
  <c r="E28" i="8"/>
  <c r="F28"/>
  <c r="N27" i="1"/>
  <c r="N29" s="1"/>
  <c r="O8" s="1"/>
  <c r="O12" s="1"/>
  <c r="G28" i="8"/>
  <c r="G26"/>
  <c r="C24"/>
  <c r="D24"/>
  <c r="B24"/>
  <c r="I8" i="13" l="1"/>
  <c r="J8" s="1"/>
  <c r="E19"/>
  <c r="E23" s="1"/>
  <c r="E25" s="1"/>
  <c r="K8"/>
  <c r="K9"/>
  <c r="L9" s="1"/>
  <c r="I9"/>
  <c r="J9" s="1"/>
  <c r="F9"/>
  <c r="K10"/>
  <c r="L10" s="1"/>
  <c r="I10"/>
  <c r="J10" s="1"/>
  <c r="F10"/>
  <c r="K17"/>
  <c r="L17" s="1"/>
  <c r="I17"/>
  <c r="J17" s="1"/>
  <c r="F17"/>
  <c r="F13"/>
  <c r="K13"/>
  <c r="I13"/>
  <c r="J13" s="1"/>
  <c r="I16"/>
  <c r="J16" s="1"/>
  <c r="F16"/>
  <c r="K16"/>
  <c r="I18"/>
  <c r="J18" s="1"/>
  <c r="F18"/>
  <c r="K18"/>
  <c r="K12"/>
  <c r="L12" s="1"/>
  <c r="I12"/>
  <c r="J12" s="1"/>
  <c r="F12"/>
  <c r="K11"/>
  <c r="I11"/>
  <c r="J11" s="1"/>
  <c r="F11"/>
  <c r="I15"/>
  <c r="J15" s="1"/>
  <c r="F15"/>
  <c r="K15"/>
  <c r="F14"/>
  <c r="I14"/>
  <c r="J14" s="1"/>
  <c r="K14"/>
  <c r="L14" s="1"/>
  <c r="L18" i="1"/>
  <c r="M18" s="1"/>
  <c r="L18" i="22" s="1"/>
  <c r="O18" s="1"/>
  <c r="L19" i="1"/>
  <c r="L21"/>
  <c r="M21" s="1"/>
  <c r="L21" i="22" s="1"/>
  <c r="O21" s="1"/>
  <c r="L16" i="1"/>
  <c r="M16" s="1"/>
  <c r="L16" i="22" s="1"/>
  <c r="O16" s="1"/>
  <c r="L14" i="1"/>
  <c r="M14" s="1"/>
  <c r="L14" i="22" s="1"/>
  <c r="O14" s="1"/>
  <c r="L13" i="1"/>
  <c r="M13" s="1"/>
  <c r="L13" i="22" s="1"/>
  <c r="O13" s="1"/>
  <c r="L20" i="1"/>
  <c r="M20" s="1"/>
  <c r="L20" i="22" s="1"/>
  <c r="O20" s="1"/>
  <c r="M12" i="1"/>
  <c r="L12" i="22" s="1"/>
  <c r="O12" s="1"/>
  <c r="L17" i="1"/>
  <c r="M17" s="1"/>
  <c r="L17" i="22" s="1"/>
  <c r="O17" s="1"/>
  <c r="L15" i="1"/>
  <c r="M15" s="1"/>
  <c r="L15" i="22" s="1"/>
  <c r="O15" s="1"/>
  <c r="L22" i="1"/>
  <c r="M22" s="1"/>
  <c r="L22" i="22" s="1"/>
  <c r="O22" s="1"/>
  <c r="O17" i="1"/>
  <c r="P17" s="1"/>
  <c r="P17" i="22" s="1"/>
  <c r="O18" i="1"/>
  <c r="P18" s="1"/>
  <c r="P18" i="22" s="1"/>
  <c r="S18" s="1"/>
  <c r="O19" i="1"/>
  <c r="P19" s="1"/>
  <c r="P19" i="22" s="1"/>
  <c r="S19" s="1"/>
  <c r="O20" i="1"/>
  <c r="P20" s="1"/>
  <c r="P20" i="22" s="1"/>
  <c r="S20" s="1"/>
  <c r="O21" i="1"/>
  <c r="P21" s="1"/>
  <c r="P21" i="22" s="1"/>
  <c r="S21" s="1"/>
  <c r="O13" i="1"/>
  <c r="P13" s="1"/>
  <c r="P13" i="22" s="1"/>
  <c r="S13" s="1"/>
  <c r="O14" i="1"/>
  <c r="P14" s="1"/>
  <c r="P14" i="22" s="1"/>
  <c r="S14" s="1"/>
  <c r="O22" i="1"/>
  <c r="P22" s="1"/>
  <c r="P22" i="22" s="1"/>
  <c r="S22" s="1"/>
  <c r="P12" i="1"/>
  <c r="P12" i="22" s="1"/>
  <c r="S12" s="1"/>
  <c r="O15" i="1"/>
  <c r="P15" s="1"/>
  <c r="P15" i="22" s="1"/>
  <c r="S15" s="1"/>
  <c r="O16" i="1"/>
  <c r="P16" s="1"/>
  <c r="P16" i="22" s="1"/>
  <c r="S16" s="1"/>
  <c r="C28" i="8"/>
  <c r="H27" i="1"/>
  <c r="H29" s="1"/>
  <c r="I8" s="1"/>
  <c r="I12" s="1"/>
  <c r="D28" i="8"/>
  <c r="B26"/>
  <c r="E27" i="1"/>
  <c r="E29" s="1"/>
  <c r="F8" s="1"/>
  <c r="P23" i="22" l="1"/>
  <c r="F58" s="1"/>
  <c r="S17"/>
  <c r="S23" s="1"/>
  <c r="M14" i="13"/>
  <c r="N14" s="1"/>
  <c r="M10"/>
  <c r="J19"/>
  <c r="F19"/>
  <c r="G8" s="1"/>
  <c r="K19"/>
  <c r="L8"/>
  <c r="M17"/>
  <c r="M9"/>
  <c r="M12"/>
  <c r="I16" i="1"/>
  <c r="J16" s="1"/>
  <c r="H16" i="22" s="1"/>
  <c r="K16" s="1"/>
  <c r="I18" i="1"/>
  <c r="J18" s="1"/>
  <c r="H18" i="22" s="1"/>
  <c r="K18" s="1"/>
  <c r="I19" i="1"/>
  <c r="J19" s="1"/>
  <c r="H19" i="22" s="1"/>
  <c r="K19" s="1"/>
  <c r="I14" i="1"/>
  <c r="J14" s="1"/>
  <c r="H14" i="22" s="1"/>
  <c r="K14" s="1"/>
  <c r="I21" i="1"/>
  <c r="J21" s="1"/>
  <c r="H21" i="22" s="1"/>
  <c r="K21" s="1"/>
  <c r="I22" i="1"/>
  <c r="J22" s="1"/>
  <c r="H22" i="22" s="1"/>
  <c r="K22" s="1"/>
  <c r="J12" i="1"/>
  <c r="H12" i="22" s="1"/>
  <c r="I17" i="1"/>
  <c r="J17" s="1"/>
  <c r="H17" i="22" s="1"/>
  <c r="K17" s="1"/>
  <c r="I13" i="1"/>
  <c r="J13" s="1"/>
  <c r="H13" i="22" s="1"/>
  <c r="K13" s="1"/>
  <c r="I15" i="1"/>
  <c r="J15" s="1"/>
  <c r="H15" i="22" s="1"/>
  <c r="K15" s="1"/>
  <c r="I20" i="1"/>
  <c r="J20" s="1"/>
  <c r="H20" i="22" s="1"/>
  <c r="K20" s="1"/>
  <c r="F20" i="1"/>
  <c r="G20" s="1"/>
  <c r="D20" i="22" s="1"/>
  <c r="G20" s="1"/>
  <c r="F21" i="1"/>
  <c r="G21" s="1"/>
  <c r="D21" i="22" s="1"/>
  <c r="G21" s="1"/>
  <c r="F13" i="1"/>
  <c r="G13" s="1"/>
  <c r="D13" i="22" s="1"/>
  <c r="G13" s="1"/>
  <c r="F22" i="1"/>
  <c r="G22" s="1"/>
  <c r="D22" i="22" s="1"/>
  <c r="G22" s="1"/>
  <c r="F14" i="1"/>
  <c r="F12"/>
  <c r="G12" s="1"/>
  <c r="D12" i="22" s="1"/>
  <c r="G12" s="1"/>
  <c r="F15" i="1"/>
  <c r="G15" s="1"/>
  <c r="D15" i="22" s="1"/>
  <c r="F17" i="1"/>
  <c r="G17" s="1"/>
  <c r="D17" i="22" s="1"/>
  <c r="G17" s="1"/>
  <c r="F16" i="1"/>
  <c r="G16" s="1"/>
  <c r="D16" i="22" s="1"/>
  <c r="G16" s="1"/>
  <c r="F18" i="1"/>
  <c r="F19"/>
  <c r="G19" s="1"/>
  <c r="D19" i="22" s="1"/>
  <c r="G19" s="1"/>
  <c r="B28" i="8"/>
  <c r="L23" i="1"/>
  <c r="K30" s="1"/>
  <c r="K31" s="1"/>
  <c r="M19"/>
  <c r="O23"/>
  <c r="N30" s="1"/>
  <c r="N31" s="1"/>
  <c r="P23"/>
  <c r="E58" i="22" s="1"/>
  <c r="G58" l="1"/>
  <c r="O14" i="13"/>
  <c r="P14" s="1"/>
  <c r="R14" s="1"/>
  <c r="S14" s="1"/>
  <c r="G15" i="22"/>
  <c r="M23" i="1"/>
  <c r="E56" i="22" s="1"/>
  <c r="L19"/>
  <c r="AC17"/>
  <c r="D32"/>
  <c r="G32" s="1"/>
  <c r="L16" i="13"/>
  <c r="M16" s="1"/>
  <c r="O16" s="1"/>
  <c r="P16" s="1"/>
  <c r="R16" s="1"/>
  <c r="S16" s="1"/>
  <c r="AC16" i="22"/>
  <c r="AC20"/>
  <c r="AC13"/>
  <c r="K12"/>
  <c r="K23" s="1"/>
  <c r="H23"/>
  <c r="F55" s="1"/>
  <c r="AC22"/>
  <c r="AC21"/>
  <c r="G13" i="13"/>
  <c r="L15"/>
  <c r="M15" s="1"/>
  <c r="O15" s="1"/>
  <c r="P15" s="1"/>
  <c r="R15" s="1"/>
  <c r="L13"/>
  <c r="M13" s="1"/>
  <c r="N13" s="1"/>
  <c r="L18"/>
  <c r="M18" s="1"/>
  <c r="N18" s="1"/>
  <c r="L11"/>
  <c r="M11" s="1"/>
  <c r="O11" s="1"/>
  <c r="P11" s="1"/>
  <c r="R11" s="1"/>
  <c r="S11" s="1"/>
  <c r="O10"/>
  <c r="P10" s="1"/>
  <c r="R10" s="1"/>
  <c r="S10" s="1"/>
  <c r="N10"/>
  <c r="O17"/>
  <c r="P17" s="1"/>
  <c r="R17" s="1"/>
  <c r="S17" s="1"/>
  <c r="N17"/>
  <c r="G17"/>
  <c r="G11"/>
  <c r="Q14"/>
  <c r="T14" s="1"/>
  <c r="G15"/>
  <c r="G16"/>
  <c r="G10"/>
  <c r="G12"/>
  <c r="G14"/>
  <c r="G18"/>
  <c r="O12"/>
  <c r="P12" s="1"/>
  <c r="R12" s="1"/>
  <c r="S12" s="1"/>
  <c r="N12"/>
  <c r="O9"/>
  <c r="P9" s="1"/>
  <c r="R9" s="1"/>
  <c r="S9" s="1"/>
  <c r="N9"/>
  <c r="G9"/>
  <c r="H8"/>
  <c r="M8"/>
  <c r="T12" i="1"/>
  <c r="B11" i="26" s="1"/>
  <c r="T17" i="1"/>
  <c r="B16" i="26" s="1"/>
  <c r="J23" i="1"/>
  <c r="E55" i="22" s="1"/>
  <c r="I23" i="1"/>
  <c r="H30" s="1"/>
  <c r="H31" s="1"/>
  <c r="T13"/>
  <c r="B12" i="26" s="1"/>
  <c r="T19" i="1"/>
  <c r="B18" i="26" s="1"/>
  <c r="T22" i="1"/>
  <c r="B21" i="26" s="1"/>
  <c r="T15" i="1"/>
  <c r="B14" i="26" s="1"/>
  <c r="T16" i="1"/>
  <c r="B15" i="26" s="1"/>
  <c r="T20" i="1"/>
  <c r="B19" i="26" s="1"/>
  <c r="T21" i="1"/>
  <c r="B20" i="26" s="1"/>
  <c r="G18" i="1"/>
  <c r="G14"/>
  <c r="F23"/>
  <c r="E30" s="1"/>
  <c r="E31" s="1"/>
  <c r="N16" i="13" l="1"/>
  <c r="G55" i="22"/>
  <c r="AC12"/>
  <c r="D42"/>
  <c r="G42" s="1"/>
  <c r="T18" i="1"/>
  <c r="B17" i="26" s="1"/>
  <c r="D18" i="22"/>
  <c r="G18" s="1"/>
  <c r="D34"/>
  <c r="D36"/>
  <c r="G36" s="1"/>
  <c r="D38"/>
  <c r="G38" s="1"/>
  <c r="D37"/>
  <c r="G37" s="1"/>
  <c r="D33"/>
  <c r="G33" s="1"/>
  <c r="D41"/>
  <c r="G41" s="1"/>
  <c r="T14" i="1"/>
  <c r="B13" i="26" s="1"/>
  <c r="D14" i="22"/>
  <c r="D35"/>
  <c r="G35" s="1"/>
  <c r="AC15"/>
  <c r="D39"/>
  <c r="G39" s="1"/>
  <c r="L23"/>
  <c r="F56" s="1"/>
  <c r="G56" s="1"/>
  <c r="O19"/>
  <c r="D40"/>
  <c r="G40" s="1"/>
  <c r="N15" i="13"/>
  <c r="O13"/>
  <c r="P13" s="1"/>
  <c r="R13" s="1"/>
  <c r="S13" s="1"/>
  <c r="L19"/>
  <c r="N11"/>
  <c r="O18"/>
  <c r="P18" s="1"/>
  <c r="R18" s="1"/>
  <c r="S18" s="1"/>
  <c r="Q15"/>
  <c r="G19"/>
  <c r="E57" i="22" s="1"/>
  <c r="Q10" i="13"/>
  <c r="T10" s="1"/>
  <c r="Q16"/>
  <c r="T16" s="1"/>
  <c r="V16" s="1"/>
  <c r="W16" s="1"/>
  <c r="Y16" s="1"/>
  <c r="Z16" s="1"/>
  <c r="H9"/>
  <c r="H18"/>
  <c r="H16"/>
  <c r="Q11"/>
  <c r="T11" s="1"/>
  <c r="H15"/>
  <c r="N8"/>
  <c r="M19"/>
  <c r="M23" s="1"/>
  <c r="M25" s="1"/>
  <c r="O8"/>
  <c r="Q12"/>
  <c r="T12" s="1"/>
  <c r="Q17"/>
  <c r="T17" s="1"/>
  <c r="V14"/>
  <c r="W14" s="1"/>
  <c r="Y14" s="1"/>
  <c r="Z14" s="1"/>
  <c r="U14"/>
  <c r="H14"/>
  <c r="H13"/>
  <c r="H17"/>
  <c r="Q9"/>
  <c r="T9" s="1"/>
  <c r="H12"/>
  <c r="H10"/>
  <c r="H11"/>
  <c r="G23" i="1"/>
  <c r="E54" i="22" s="1"/>
  <c r="B22" i="26" l="1"/>
  <c r="J27" s="1"/>
  <c r="J28" s="1"/>
  <c r="J7" s="1"/>
  <c r="U16" i="13"/>
  <c r="Q13"/>
  <c r="T13" s="1"/>
  <c r="U13" s="1"/>
  <c r="Q18"/>
  <c r="T18" s="1"/>
  <c r="U18" s="1"/>
  <c r="AC18" i="22"/>
  <c r="O23"/>
  <c r="AC19"/>
  <c r="G14"/>
  <c r="D23"/>
  <c r="F54" s="1"/>
  <c r="D43"/>
  <c r="F57" s="1"/>
  <c r="G57" s="1"/>
  <c r="G34"/>
  <c r="G43" s="1"/>
  <c r="G23" i="13"/>
  <c r="G25" s="1"/>
  <c r="N19"/>
  <c r="BC18"/>
  <c r="H19"/>
  <c r="X14"/>
  <c r="AA14" s="1"/>
  <c r="AC14" s="1"/>
  <c r="AD14" s="1"/>
  <c r="AF14" s="1"/>
  <c r="AG14" s="1"/>
  <c r="BC10"/>
  <c r="BC15"/>
  <c r="U10"/>
  <c r="V10"/>
  <c r="W10" s="1"/>
  <c r="Y10" s="1"/>
  <c r="Z10" s="1"/>
  <c r="V17"/>
  <c r="W17" s="1"/>
  <c r="Y17" s="1"/>
  <c r="Z17" s="1"/>
  <c r="U17"/>
  <c r="BC12"/>
  <c r="BC13"/>
  <c r="X16"/>
  <c r="AA16" s="1"/>
  <c r="BC8"/>
  <c r="BC9"/>
  <c r="P8"/>
  <c r="O19"/>
  <c r="V9"/>
  <c r="W9" s="1"/>
  <c r="Y9" s="1"/>
  <c r="Z9" s="1"/>
  <c r="U9"/>
  <c r="U12"/>
  <c r="V12"/>
  <c r="W12" s="1"/>
  <c r="Y12" s="1"/>
  <c r="Z12" s="1"/>
  <c r="U11"/>
  <c r="V11"/>
  <c r="W11" s="1"/>
  <c r="Y11" s="1"/>
  <c r="Z11" s="1"/>
  <c r="BC16"/>
  <c r="BC17"/>
  <c r="BC11"/>
  <c r="BC14"/>
  <c r="T23" i="1"/>
  <c r="G54" i="22" l="1"/>
  <c r="J19" i="26"/>
  <c r="K19" s="1"/>
  <c r="J20"/>
  <c r="K20" s="1"/>
  <c r="J12"/>
  <c r="K12" s="1"/>
  <c r="J14"/>
  <c r="K14" s="1"/>
  <c r="J21"/>
  <c r="K21" s="1"/>
  <c r="J13"/>
  <c r="K13" s="1"/>
  <c r="J17"/>
  <c r="K17" s="1"/>
  <c r="J15"/>
  <c r="K15" s="1"/>
  <c r="J16"/>
  <c r="K16" s="1"/>
  <c r="J18"/>
  <c r="K18" s="1"/>
  <c r="J11"/>
  <c r="K11" s="1"/>
  <c r="V13" i="13"/>
  <c r="W13" s="1"/>
  <c r="Y13" s="1"/>
  <c r="Z13" s="1"/>
  <c r="AC14" i="22"/>
  <c r="AC23" s="1"/>
  <c r="G23"/>
  <c r="V18" i="13"/>
  <c r="W18" s="1"/>
  <c r="Y18" s="1"/>
  <c r="Z18" s="1"/>
  <c r="X9"/>
  <c r="AA9" s="1"/>
  <c r="AC9" s="1"/>
  <c r="AD9" s="1"/>
  <c r="AF9" s="1"/>
  <c r="AG9" s="1"/>
  <c r="AB14"/>
  <c r="X10"/>
  <c r="AA10" s="1"/>
  <c r="R8"/>
  <c r="Q8"/>
  <c r="Q19" s="1"/>
  <c r="AB16"/>
  <c r="AC16"/>
  <c r="AD16" s="1"/>
  <c r="AF16" s="1"/>
  <c r="AG16" s="1"/>
  <c r="X12"/>
  <c r="AA12" s="1"/>
  <c r="X17"/>
  <c r="AA17" s="1"/>
  <c r="X11"/>
  <c r="AA11" s="1"/>
  <c r="AE14"/>
  <c r="AH14" s="1"/>
  <c r="BC19"/>
  <c r="X13" l="1"/>
  <c r="AA13" s="1"/>
  <c r="AC13" s="1"/>
  <c r="AD13" s="1"/>
  <c r="AF13" s="1"/>
  <c r="AG13" s="1"/>
  <c r="Q17" i="1"/>
  <c r="T17" i="22" s="1"/>
  <c r="W17" s="1"/>
  <c r="Q20" i="1"/>
  <c r="T20" i="22" s="1"/>
  <c r="W20" s="1"/>
  <c r="J22" i="26"/>
  <c r="Q13" i="1"/>
  <c r="T13" i="22" s="1"/>
  <c r="W13" s="1"/>
  <c r="Q15" i="1"/>
  <c r="T15" i="22" s="1"/>
  <c r="W15" s="1"/>
  <c r="Q21" i="1"/>
  <c r="T21" i="22" s="1"/>
  <c r="W21" s="1"/>
  <c r="Q14" i="1"/>
  <c r="T14" i="22" s="1"/>
  <c r="W14" s="1"/>
  <c r="Q22" i="1"/>
  <c r="T22" i="22" s="1"/>
  <c r="W22" s="1"/>
  <c r="Q18" i="1"/>
  <c r="T18" i="22" s="1"/>
  <c r="W18" s="1"/>
  <c r="Q19" i="1"/>
  <c r="T19" i="22" s="1"/>
  <c r="W19" s="1"/>
  <c r="Q16" i="1"/>
  <c r="T16" i="22" s="1"/>
  <c r="W16" s="1"/>
  <c r="X18" i="13"/>
  <c r="AA18" s="1"/>
  <c r="AC18" s="1"/>
  <c r="AD18" s="1"/>
  <c r="AF18" s="1"/>
  <c r="AG18" s="1"/>
  <c r="AB9"/>
  <c r="AB10"/>
  <c r="AC10"/>
  <c r="AD10" s="1"/>
  <c r="AC11"/>
  <c r="AD11" s="1"/>
  <c r="AF11" s="1"/>
  <c r="AG11" s="1"/>
  <c r="AB11"/>
  <c r="AI14"/>
  <c r="AJ14"/>
  <c r="AK14" s="1"/>
  <c r="AM14" s="1"/>
  <c r="AN14" s="1"/>
  <c r="R19"/>
  <c r="S15" s="1"/>
  <c r="T15" s="1"/>
  <c r="S8"/>
  <c r="AE9"/>
  <c r="AH9" s="1"/>
  <c r="AE16"/>
  <c r="AH16" s="1"/>
  <c r="AB12"/>
  <c r="AC12"/>
  <c r="AD12" s="1"/>
  <c r="AF12" s="1"/>
  <c r="AG12" s="1"/>
  <c r="AC17"/>
  <c r="AD17" s="1"/>
  <c r="AF17" s="1"/>
  <c r="AG17" s="1"/>
  <c r="AB17"/>
  <c r="AB13" l="1"/>
  <c r="Q12" i="1"/>
  <c r="T12" i="22" s="1"/>
  <c r="K22" i="26"/>
  <c r="L11" s="1"/>
  <c r="AE18" i="13"/>
  <c r="AH18" s="1"/>
  <c r="AJ18" s="1"/>
  <c r="AK18" s="1"/>
  <c r="AM18" s="1"/>
  <c r="AN18" s="1"/>
  <c r="AB18"/>
  <c r="AF10"/>
  <c r="AG10" s="1"/>
  <c r="AE10"/>
  <c r="AE11"/>
  <c r="AH11" s="1"/>
  <c r="AI11" s="1"/>
  <c r="V15"/>
  <c r="W15" s="1"/>
  <c r="Y15" s="1"/>
  <c r="Z15" s="1"/>
  <c r="U15"/>
  <c r="AE12"/>
  <c r="AH12" s="1"/>
  <c r="T8"/>
  <c r="S19"/>
  <c r="AJ9"/>
  <c r="AK9" s="1"/>
  <c r="AM9" s="1"/>
  <c r="AN9" s="1"/>
  <c r="AI9"/>
  <c r="AE13"/>
  <c r="AH13" s="1"/>
  <c r="AJ16"/>
  <c r="AK16" s="1"/>
  <c r="AM16" s="1"/>
  <c r="AN16" s="1"/>
  <c r="AI16"/>
  <c r="AL14"/>
  <c r="AO14" s="1"/>
  <c r="AE17"/>
  <c r="AH17" s="1"/>
  <c r="Q23" i="1" l="1"/>
  <c r="E59" i="22" s="1"/>
  <c r="R12" i="1"/>
  <c r="X12" i="22" s="1"/>
  <c r="M11" i="26"/>
  <c r="T23" i="22"/>
  <c r="F59" s="1"/>
  <c r="W12"/>
  <c r="K27" i="26"/>
  <c r="K28" s="1"/>
  <c r="L12"/>
  <c r="L21"/>
  <c r="L14"/>
  <c r="L13"/>
  <c r="L15"/>
  <c r="L19"/>
  <c r="L20"/>
  <c r="L18"/>
  <c r="L16"/>
  <c r="L17"/>
  <c r="AI18" i="13"/>
  <c r="AH10"/>
  <c r="AJ10" s="1"/>
  <c r="AK10" s="1"/>
  <c r="AM10" s="1"/>
  <c r="AN10" s="1"/>
  <c r="AL18"/>
  <c r="AO18" s="1"/>
  <c r="AP18" s="1"/>
  <c r="AJ11"/>
  <c r="AK11" s="1"/>
  <c r="AM11" s="1"/>
  <c r="AN11" s="1"/>
  <c r="X15"/>
  <c r="AA15" s="1"/>
  <c r="AL16"/>
  <c r="AO16" s="1"/>
  <c r="AP16" s="1"/>
  <c r="AJ12"/>
  <c r="AK12" s="1"/>
  <c r="AM12" s="1"/>
  <c r="AN12" s="1"/>
  <c r="AI12"/>
  <c r="AQ14"/>
  <c r="AR14" s="1"/>
  <c r="AT14" s="1"/>
  <c r="AU14" s="1"/>
  <c r="AP14"/>
  <c r="AJ13"/>
  <c r="AK13" s="1"/>
  <c r="AM13" s="1"/>
  <c r="AN13" s="1"/>
  <c r="AI13"/>
  <c r="V8"/>
  <c r="U8"/>
  <c r="U19" s="1"/>
  <c r="T19"/>
  <c r="T23" s="1"/>
  <c r="T25" s="1"/>
  <c r="AI17"/>
  <c r="AJ17"/>
  <c r="AK17" s="1"/>
  <c r="AM17" s="1"/>
  <c r="AN17" s="1"/>
  <c r="AL9"/>
  <c r="AO9" s="1"/>
  <c r="G59" i="22" l="1"/>
  <c r="M20" i="26"/>
  <c r="O20" s="1"/>
  <c r="P20" s="1"/>
  <c r="R21" i="1"/>
  <c r="M14" i="26"/>
  <c r="O14" s="1"/>
  <c r="P14" s="1"/>
  <c r="R15" i="1"/>
  <c r="X15" i="22" s="1"/>
  <c r="Y15" s="1"/>
  <c r="AA15" s="1"/>
  <c r="AB15" s="1"/>
  <c r="M15" i="26"/>
  <c r="O15" s="1"/>
  <c r="P15" s="1"/>
  <c r="R16" i="1"/>
  <c r="O11" i="26"/>
  <c r="M13"/>
  <c r="O13" s="1"/>
  <c r="P13" s="1"/>
  <c r="R14" i="1"/>
  <c r="X14" i="22" s="1"/>
  <c r="Y14" s="1"/>
  <c r="AA14" s="1"/>
  <c r="AB14" s="1"/>
  <c r="M19" i="26"/>
  <c r="O19" s="1"/>
  <c r="P19" s="1"/>
  <c r="R20" i="1"/>
  <c r="M18" i="26"/>
  <c r="O18" s="1"/>
  <c r="P18" s="1"/>
  <c r="R19" i="1"/>
  <c r="W23" i="22"/>
  <c r="Y12"/>
  <c r="M16" i="26"/>
  <c r="O16" s="1"/>
  <c r="P16" s="1"/>
  <c r="R17" i="1"/>
  <c r="X17" i="22" s="1"/>
  <c r="Y17" s="1"/>
  <c r="AA17" s="1"/>
  <c r="AB17" s="1"/>
  <c r="M12" i="26"/>
  <c r="O12" s="1"/>
  <c r="P12" s="1"/>
  <c r="R13" i="1"/>
  <c r="M17" i="26"/>
  <c r="O17" s="1"/>
  <c r="P17" s="1"/>
  <c r="R18" i="1"/>
  <c r="X18" i="22" s="1"/>
  <c r="Y18" s="1"/>
  <c r="AA18" s="1"/>
  <c r="AB18" s="1"/>
  <c r="M21" i="26"/>
  <c r="O21" s="1"/>
  <c r="P21" s="1"/>
  <c r="R22" i="1"/>
  <c r="L22" i="26"/>
  <c r="L27" s="1"/>
  <c r="L28" s="1"/>
  <c r="AQ16" i="13"/>
  <c r="AR16" s="1"/>
  <c r="AT16" s="1"/>
  <c r="AU16" s="1"/>
  <c r="AL17"/>
  <c r="AO17" s="1"/>
  <c r="AQ17" s="1"/>
  <c r="AR17" s="1"/>
  <c r="AT17" s="1"/>
  <c r="AU17" s="1"/>
  <c r="AI10"/>
  <c r="AL13"/>
  <c r="AO13" s="1"/>
  <c r="AL11"/>
  <c r="AO11" s="1"/>
  <c r="AQ11" s="1"/>
  <c r="AR11" s="1"/>
  <c r="AT11" s="1"/>
  <c r="AU11" s="1"/>
  <c r="AQ18"/>
  <c r="AR18" s="1"/>
  <c r="AT18" s="1"/>
  <c r="AU18" s="1"/>
  <c r="AL10"/>
  <c r="AO10" s="1"/>
  <c r="AS14"/>
  <c r="AV14" s="1"/>
  <c r="AW14" s="1"/>
  <c r="AQ9"/>
  <c r="AR9" s="1"/>
  <c r="AT9" s="1"/>
  <c r="AU9" s="1"/>
  <c r="AP9"/>
  <c r="AB15"/>
  <c r="AC15"/>
  <c r="AD15" s="1"/>
  <c r="AF15" s="1"/>
  <c r="W8"/>
  <c r="V19"/>
  <c r="AL12"/>
  <c r="AO12" s="1"/>
  <c r="S12" i="1"/>
  <c r="S14" l="1"/>
  <c r="S15"/>
  <c r="S18"/>
  <c r="X21" i="22"/>
  <c r="Y21" s="1"/>
  <c r="AA21" s="1"/>
  <c r="AB21" s="1"/>
  <c r="S21" i="1"/>
  <c r="X13" i="22"/>
  <c r="Y13" s="1"/>
  <c r="AA13" s="1"/>
  <c r="AB13" s="1"/>
  <c r="S13" i="1"/>
  <c r="X20" i="22"/>
  <c r="Y20" s="1"/>
  <c r="AA20" s="1"/>
  <c r="AB20" s="1"/>
  <c r="S20" i="1"/>
  <c r="S17"/>
  <c r="X19" i="22"/>
  <c r="S19" i="1"/>
  <c r="X16" i="22"/>
  <c r="Y16" s="1"/>
  <c r="AA16" s="1"/>
  <c r="AB16" s="1"/>
  <c r="S16" i="1"/>
  <c r="P11" i="26"/>
  <c r="P22" s="1"/>
  <c r="O22"/>
  <c r="X22" i="22"/>
  <c r="Y22" s="1"/>
  <c r="AA22" s="1"/>
  <c r="AB22" s="1"/>
  <c r="S22" i="1"/>
  <c r="AA12" i="22"/>
  <c r="M22" i="26"/>
  <c r="AS16" i="13"/>
  <c r="AV16" s="1"/>
  <c r="AX16" s="1"/>
  <c r="AP17"/>
  <c r="AQ13"/>
  <c r="AR13" s="1"/>
  <c r="AT13" s="1"/>
  <c r="AU13" s="1"/>
  <c r="AP13"/>
  <c r="AP11"/>
  <c r="AS18"/>
  <c r="AV18" s="1"/>
  <c r="AQ10"/>
  <c r="AR10" s="1"/>
  <c r="AT10" s="1"/>
  <c r="AU10" s="1"/>
  <c r="AP10"/>
  <c r="AS9"/>
  <c r="AV9" s="1"/>
  <c r="AW9" s="1"/>
  <c r="AS17"/>
  <c r="AV17" s="1"/>
  <c r="AW17" s="1"/>
  <c r="AX14"/>
  <c r="AS11"/>
  <c r="AV11" s="1"/>
  <c r="AW11" s="1"/>
  <c r="Y8"/>
  <c r="X8"/>
  <c r="AE15"/>
  <c r="AP12"/>
  <c r="AQ12"/>
  <c r="AR12" s="1"/>
  <c r="AT12" s="1"/>
  <c r="AU12" s="1"/>
  <c r="R23" i="1"/>
  <c r="E60" i="22" s="1"/>
  <c r="E61" s="1"/>
  <c r="AB12" l="1"/>
  <c r="S23" i="1"/>
  <c r="X23" i="22"/>
  <c r="F60" s="1"/>
  <c r="Y19"/>
  <c r="AW16" i="13"/>
  <c r="AX17"/>
  <c r="AS13"/>
  <c r="AV13" s="1"/>
  <c r="AX13" s="1"/>
  <c r="AW18"/>
  <c r="AX18"/>
  <c r="AS10"/>
  <c r="AV10" s="1"/>
  <c r="AX11"/>
  <c r="AX9"/>
  <c r="AS12"/>
  <c r="AV12" s="1"/>
  <c r="Z8"/>
  <c r="Z19" s="1"/>
  <c r="Y19"/>
  <c r="X19"/>
  <c r="G60" i="22" l="1"/>
  <c r="G61" s="1"/>
  <c r="F61"/>
  <c r="AA19"/>
  <c r="Y23"/>
  <c r="AW13" i="13"/>
  <c r="AW10"/>
  <c r="AX10"/>
  <c r="AA8"/>
  <c r="AC8" s="1"/>
  <c r="AX12"/>
  <c r="AW12"/>
  <c r="AB19" i="22" l="1"/>
  <c r="AB23" s="1"/>
  <c r="AA23"/>
  <c r="AA19" i="13"/>
  <c r="AA23" s="1"/>
  <c r="AA25" s="1"/>
  <c r="AB8"/>
  <c r="AB19" s="1"/>
  <c r="AC19"/>
  <c r="AD8"/>
  <c r="AF8" l="1"/>
  <c r="AE8"/>
  <c r="AF19" l="1"/>
  <c r="AG8"/>
  <c r="AE19"/>
  <c r="AG15" s="1"/>
  <c r="AH15" s="1"/>
  <c r="AG19" l="1"/>
  <c r="AJ15"/>
  <c r="AK15" s="1"/>
  <c r="AM15" s="1"/>
  <c r="AN15" s="1"/>
  <c r="AI15"/>
  <c r="AH8"/>
  <c r="AL15" l="1"/>
  <c r="AO15" s="1"/>
  <c r="AJ8"/>
  <c r="AI8"/>
  <c r="AI19" s="1"/>
  <c r="AH19"/>
  <c r="AH23" s="1"/>
  <c r="AH25" s="1"/>
  <c r="AQ15" l="1"/>
  <c r="AR15" s="1"/>
  <c r="AT15" s="1"/>
  <c r="AU15" s="1"/>
  <c r="AP15"/>
  <c r="AK8"/>
  <c r="AJ19"/>
  <c r="AS15" l="1"/>
  <c r="AV15" s="1"/>
  <c r="AM8"/>
  <c r="AL8"/>
  <c r="AW15" l="1"/>
  <c r="AX15"/>
  <c r="AN8"/>
  <c r="AN19" s="1"/>
  <c r="AM19"/>
  <c r="AL19"/>
  <c r="AO8" l="1"/>
  <c r="AO19" l="1"/>
  <c r="AO23" s="1"/>
  <c r="AO25" s="1"/>
  <c r="AP8"/>
  <c r="AP19" s="1"/>
  <c r="AQ8"/>
  <c r="AR8" l="1"/>
  <c r="AQ19"/>
  <c r="AT8" l="1"/>
  <c r="AS8"/>
  <c r="AS19" s="1"/>
  <c r="AU8" l="1"/>
  <c r="AT19"/>
  <c r="AV8" l="1"/>
  <c r="AU19"/>
  <c r="AX8" l="1"/>
  <c r="AW8"/>
  <c r="AW19" s="1"/>
  <c r="AV19"/>
  <c r="AY8" l="1"/>
  <c r="AX19"/>
  <c r="AV23"/>
  <c r="AV25" s="1"/>
  <c r="AY14"/>
  <c r="AZ14" s="1"/>
  <c r="BA14" s="1"/>
  <c r="AY18"/>
  <c r="AZ18" s="1"/>
  <c r="BA18" s="1"/>
  <c r="AY11"/>
  <c r="AZ11" s="1"/>
  <c r="BA11" s="1"/>
  <c r="AY16"/>
  <c r="AZ16" s="1"/>
  <c r="BA16" s="1"/>
  <c r="AY10"/>
  <c r="AZ10" s="1"/>
  <c r="BA10" s="1"/>
  <c r="AY17"/>
  <c r="AZ17" s="1"/>
  <c r="BA17" s="1"/>
  <c r="AY9"/>
  <c r="AZ9" s="1"/>
  <c r="BA9" s="1"/>
  <c r="AY13"/>
  <c r="AZ13" s="1"/>
  <c r="BA13" s="1"/>
  <c r="AY12"/>
  <c r="AZ12" s="1"/>
  <c r="BA12" s="1"/>
  <c r="AY15"/>
  <c r="AZ15" s="1"/>
  <c r="BA15" s="1"/>
  <c r="AZ8" l="1"/>
  <c r="AY19"/>
  <c r="AY23" s="1"/>
  <c r="AY25" s="1"/>
  <c r="AZ19" l="1"/>
  <c r="BA8"/>
  <c r="BA19" s="1"/>
</calcChain>
</file>

<file path=xl/comments1.xml><?xml version="1.0" encoding="utf-8"?>
<comments xmlns="http://schemas.openxmlformats.org/spreadsheetml/2006/main">
  <authors>
    <author>user</author>
  </authors>
  <commentList>
    <comment ref="T7" authorId="0">
      <text>
        <r>
          <rPr>
            <b/>
            <sz val="8"/>
            <color indexed="81"/>
            <rFont val="Tahoma"/>
            <family val="2"/>
          </rPr>
          <t>from tab "Admin Formula"</t>
        </r>
      </text>
    </comment>
    <comment ref="W7" authorId="0">
      <text>
        <r>
          <rPr>
            <b/>
            <sz val="8"/>
            <color indexed="81"/>
            <rFont val="Tahoma"/>
            <family val="2"/>
          </rPr>
          <t>from tab "Admin Formula"</t>
        </r>
      </text>
    </comment>
    <comment ref="X7" authorId="0">
      <text>
        <r>
          <rPr>
            <b/>
            <sz val="8"/>
            <color indexed="81"/>
            <rFont val="Tahoma"/>
            <family val="2"/>
          </rPr>
          <t>from tab "Admin Formula"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from 2003 Base Factors</t>
        </r>
      </text>
    </comment>
    <comment ref="D7" authorId="0">
      <text>
        <r>
          <rPr>
            <b/>
            <sz val="8"/>
            <color indexed="81"/>
            <rFont val="Tahoma"/>
            <family val="2"/>
          </rPr>
          <t>from Pivot - P&amp; E.  These are factors from the Planning &amp; Evaluation area that's based on the census data from each county.</t>
        </r>
      </text>
    </comment>
    <comment ref="Q7" authorId="0">
      <text>
        <r>
          <rPr>
            <b/>
            <sz val="8"/>
            <color indexed="81"/>
            <rFont val="Tahoma"/>
            <family val="2"/>
          </rPr>
          <t>from tab "Admin Formula"</t>
        </r>
      </text>
    </comment>
    <comment ref="R7" authorId="0">
      <text>
        <r>
          <rPr>
            <b/>
            <sz val="8"/>
            <color indexed="81"/>
            <rFont val="Tahoma"/>
            <family val="2"/>
          </rPr>
          <t>from tab "Admin Formula"</t>
        </r>
      </text>
    </comment>
  </commentList>
</comments>
</file>

<file path=xl/comments3.xml><?xml version="1.0" encoding="utf-8"?>
<comments xmlns="http://schemas.openxmlformats.org/spreadsheetml/2006/main">
  <authors>
    <author>JM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from Pivot - P&amp;E.</t>
        </r>
      </text>
    </comment>
    <comment ref="G7" authorId="0">
      <text>
        <r>
          <rPr>
            <b/>
            <sz val="8"/>
            <color indexed="81"/>
            <rFont val="Tahoma"/>
            <family val="2"/>
          </rPr>
          <t>from CCE Allocation - SAB</t>
        </r>
      </text>
    </comment>
  </commentList>
</comments>
</file>

<file path=xl/comments4.xml><?xml version="1.0" encoding="utf-8"?>
<comments xmlns="http://schemas.openxmlformats.org/spreadsheetml/2006/main">
  <authors>
    <author>JM</author>
  </authors>
  <commentList>
    <comment ref="F3" authorId="0">
      <text>
        <r>
          <rPr>
            <b/>
            <sz val="8"/>
            <color indexed="81"/>
            <rFont val="Tahoma"/>
            <family val="2"/>
          </rPr>
          <t xml:space="preserve">includes self-care disability
</t>
        </r>
      </text>
    </comment>
  </commentList>
</comments>
</file>

<file path=xl/sharedStrings.xml><?xml version="1.0" encoding="utf-8"?>
<sst xmlns="http://schemas.openxmlformats.org/spreadsheetml/2006/main" count="692" uniqueCount="334">
  <si>
    <t xml:space="preserve"> </t>
  </si>
  <si>
    <t>Total</t>
  </si>
  <si>
    <t>Factors</t>
  </si>
  <si>
    <t>OAA</t>
  </si>
  <si>
    <t>GR</t>
  </si>
  <si>
    <t>PSA</t>
  </si>
  <si>
    <t>Supportive</t>
  </si>
  <si>
    <t>Increase</t>
  </si>
  <si>
    <t>Congregate</t>
  </si>
  <si>
    <t>Home Del</t>
  </si>
  <si>
    <t>Admin</t>
  </si>
  <si>
    <t>Contract</t>
  </si>
  <si>
    <t>Services</t>
  </si>
  <si>
    <t>Meals</t>
  </si>
  <si>
    <t>Caregiver</t>
  </si>
  <si>
    <t>Family</t>
  </si>
  <si>
    <t>Alloca</t>
  </si>
  <si>
    <t>Amt (incl GR)</t>
  </si>
  <si>
    <t>Amount</t>
  </si>
  <si>
    <t>Diff</t>
  </si>
  <si>
    <t>(Decrease)</t>
  </si>
  <si>
    <t>10</t>
  </si>
  <si>
    <t>11</t>
  </si>
  <si>
    <t>PREVENTIVE</t>
  </si>
  <si>
    <t>HEALTH</t>
  </si>
  <si>
    <t>Total Elder Abuse Prevention</t>
  </si>
  <si>
    <t xml:space="preserve">Other Costs </t>
  </si>
  <si>
    <t>Total PSA Contracts</t>
  </si>
  <si>
    <t>Assumptions for Above Allocation:</t>
  </si>
  <si>
    <t>Contract Amount</t>
  </si>
  <si>
    <t>Contract Number</t>
  </si>
  <si>
    <t>Elder Abuse Prevention</t>
  </si>
  <si>
    <t>Difference</t>
  </si>
  <si>
    <t>PREVENTION</t>
  </si>
  <si>
    <t>ACTIVITY</t>
  </si>
  <si>
    <t>CAREGIVER</t>
  </si>
  <si>
    <t>MEALS</t>
  </si>
  <si>
    <t>SERVICES</t>
  </si>
  <si>
    <t>III/VII</t>
  </si>
  <si>
    <t>ELDER ABUSE</t>
  </si>
  <si>
    <t xml:space="preserve">OMBUDSMAN </t>
  </si>
  <si>
    <t>CONGREGATE</t>
  </si>
  <si>
    <t xml:space="preserve">SUPPORTIVE </t>
  </si>
  <si>
    <t>AMOUNT</t>
  </si>
  <si>
    <t>VII</t>
  </si>
  <si>
    <t>III-E</t>
  </si>
  <si>
    <t>III-B</t>
  </si>
  <si>
    <t>TOTAL</t>
  </si>
  <si>
    <t>County</t>
  </si>
  <si>
    <t>60+</t>
  </si>
  <si>
    <t>Sources</t>
  </si>
  <si>
    <t>Escambia</t>
  </si>
  <si>
    <t>Okaloosa</t>
  </si>
  <si>
    <t>Santa Rosa</t>
  </si>
  <si>
    <t>Walton</t>
  </si>
  <si>
    <t>Bay</t>
  </si>
  <si>
    <t>Calhoun</t>
  </si>
  <si>
    <t>Franklin</t>
  </si>
  <si>
    <t>Gadsden</t>
  </si>
  <si>
    <t>Gulf</t>
  </si>
  <si>
    <t>Holmes</t>
  </si>
  <si>
    <t>Jackson</t>
  </si>
  <si>
    <t>Jefferson</t>
  </si>
  <si>
    <t>Leon</t>
  </si>
  <si>
    <t>Liberty</t>
  </si>
  <si>
    <t>Madison</t>
  </si>
  <si>
    <t>Taylor</t>
  </si>
  <si>
    <t>Wakulla</t>
  </si>
  <si>
    <t>Washington</t>
  </si>
  <si>
    <t>Alachua</t>
  </si>
  <si>
    <t>Bradford</t>
  </si>
  <si>
    <t>Citrus</t>
  </si>
  <si>
    <t>Columbia</t>
  </si>
  <si>
    <t>Dixie</t>
  </si>
  <si>
    <t>Gilchrist</t>
  </si>
  <si>
    <t>Hamilton</t>
  </si>
  <si>
    <t>Hernando</t>
  </si>
  <si>
    <t>Lafayette</t>
  </si>
  <si>
    <t>Lake</t>
  </si>
  <si>
    <t>Levy</t>
  </si>
  <si>
    <t>Marion</t>
  </si>
  <si>
    <t>Putnam</t>
  </si>
  <si>
    <t>Sumter</t>
  </si>
  <si>
    <t>Suwannee</t>
  </si>
  <si>
    <t>Union</t>
  </si>
  <si>
    <t>Baker</t>
  </si>
  <si>
    <t>Clay</t>
  </si>
  <si>
    <t>Duval</t>
  </si>
  <si>
    <t>Flagler</t>
  </si>
  <si>
    <t>Nassau</t>
  </si>
  <si>
    <t>St. Johns</t>
  </si>
  <si>
    <t>Volusia</t>
  </si>
  <si>
    <t>Pasco</t>
  </si>
  <si>
    <t>Pinellas</t>
  </si>
  <si>
    <t>Hardee</t>
  </si>
  <si>
    <t>Highlands</t>
  </si>
  <si>
    <t>Hillsborough</t>
  </si>
  <si>
    <t>Manatee</t>
  </si>
  <si>
    <t>Polk</t>
  </si>
  <si>
    <t>Brevard</t>
  </si>
  <si>
    <t>Orange</t>
  </si>
  <si>
    <t>Osceola</t>
  </si>
  <si>
    <t>Seminole</t>
  </si>
  <si>
    <t>Charlotte</t>
  </si>
  <si>
    <t>Collier</t>
  </si>
  <si>
    <t>De Soto</t>
  </si>
  <si>
    <t>Glades</t>
  </si>
  <si>
    <t>Hendry</t>
  </si>
  <si>
    <t>Lee</t>
  </si>
  <si>
    <t>Sarasota</t>
  </si>
  <si>
    <t>Indian River</t>
  </si>
  <si>
    <t>Martin</t>
  </si>
  <si>
    <t>Okeechobee</t>
  </si>
  <si>
    <t>Palm Beach</t>
  </si>
  <si>
    <t>St. Lucie</t>
  </si>
  <si>
    <t>Broward</t>
  </si>
  <si>
    <t>Miami-Dade</t>
  </si>
  <si>
    <t>Monroe</t>
  </si>
  <si>
    <t>Values</t>
  </si>
  <si>
    <t>Grand Total</t>
  </si>
  <si>
    <t>PSA  Formula Share</t>
  </si>
  <si>
    <t>ALLOTMENT/MODIFICATION</t>
  </si>
  <si>
    <t>Base**</t>
  </si>
  <si>
    <t>No. of</t>
  </si>
  <si>
    <t>%</t>
  </si>
  <si>
    <t>Allocation</t>
  </si>
  <si>
    <t>50% Weight</t>
  </si>
  <si>
    <t>Counties</t>
  </si>
  <si>
    <t>25% Weight</t>
  </si>
  <si>
    <t>Allocated</t>
  </si>
  <si>
    <t>Per AAA</t>
  </si>
  <si>
    <t>Number</t>
  </si>
  <si>
    <t>Factor</t>
  </si>
  <si>
    <t>In PSA</t>
  </si>
  <si>
    <t>Amount*</t>
  </si>
  <si>
    <t>All Factors</t>
  </si>
  <si>
    <t>Over Base</t>
  </si>
  <si>
    <t>*</t>
  </si>
  <si>
    <t>**</t>
  </si>
  <si>
    <t>Base equals 7% of OAA services with a minimum of $230,000 per PSA.</t>
  </si>
  <si>
    <t>FY 2011-12</t>
  </si>
  <si>
    <t>2003 Award</t>
  </si>
  <si>
    <t>2012 Award</t>
  </si>
  <si>
    <t>Notes:</t>
  </si>
  <si>
    <t>Calculated</t>
  </si>
  <si>
    <t>HOME DELIVERED</t>
  </si>
  <si>
    <t>NATL FAMILY</t>
  </si>
  <si>
    <t>Services Allocated on Based Service Level of Funding from the 2003 Grant</t>
  </si>
  <si>
    <t>Population 60+</t>
  </si>
  <si>
    <t>Population 60+ Below Federal Poverty Level (FPL)</t>
  </si>
  <si>
    <t>Minority Population 60+ Below 125% FPL</t>
  </si>
  <si>
    <t>Sum of Population 60+</t>
  </si>
  <si>
    <t>Sum of Population 60+ Below Federal Poverty Level (FPL)</t>
  </si>
  <si>
    <t>Sum of Minority Population 60+ Below 125% FPL</t>
  </si>
  <si>
    <t>Funding</t>
  </si>
  <si>
    <t>over Base</t>
  </si>
  <si>
    <t>under Base</t>
  </si>
  <si>
    <t>Population 65+ With 2 or More Disabilities</t>
  </si>
  <si>
    <t>Sum of Population 65+ With 2 or More Disabilities</t>
  </si>
  <si>
    <t>Funding allocation is based on the approved Intrastate Funding Formula under the provisions of the Older Americans Act.  Allocation was approved by Department of Health &amp; Human Services on December 31, 2003.</t>
  </si>
  <si>
    <t>Preventive Health Funding Allocation</t>
  </si>
  <si>
    <t>Reallocation Based on New Method</t>
  </si>
  <si>
    <t>Round 1 Hold Harmless - Reallocate When Award &lt;&gt; Base</t>
  </si>
  <si>
    <t>Round 2 Hold Harmless - Reallocate When Award &lt;&gt; Base</t>
  </si>
  <si>
    <t>Round 3 Hold Harmless - Reallocate When Award &lt;&gt; Base</t>
  </si>
  <si>
    <t>Round 4 Hold Harmless - Reallocate When Award &lt;&gt; Base</t>
  </si>
  <si>
    <t>Round 5 Hold Harmless - Reallocate When Award &lt;&gt; Base</t>
  </si>
  <si>
    <t>Round 6 Hold Harmless - To Determine Change from Previous Round</t>
  </si>
  <si>
    <t>Re-Allocation Based on Old Method</t>
  </si>
  <si>
    <t>Base Allocation</t>
  </si>
  <si>
    <t>60 And Over Below Poverty</t>
  </si>
  <si>
    <t>Formula Allocation</t>
  </si>
  <si>
    <t>Base or Formula Allocation</t>
  </si>
  <si>
    <t>Re-Allocation</t>
  </si>
  <si>
    <t>Increase (Decrease)</t>
  </si>
  <si>
    <t>Hold Harmless? 1=yes</t>
  </si>
  <si>
    <t>Allocation to non H.H.</t>
  </si>
  <si>
    <t>Allocation to H.H.</t>
  </si>
  <si>
    <t>Amount Reduced to hold harmless</t>
  </si>
  <si>
    <t>Award Amount</t>
  </si>
  <si>
    <t>Award less Base</t>
  </si>
  <si>
    <t>H.H. Check</t>
  </si>
  <si>
    <t xml:space="preserve">Award Changed from Previous Round? </t>
  </si>
  <si>
    <t>Difference from Both Methods</t>
  </si>
  <si>
    <t>Award</t>
  </si>
  <si>
    <t>Percentage of Program Admin to Total Admin</t>
  </si>
  <si>
    <t>Program Admin</t>
  </si>
  <si>
    <r>
      <t>AAA Administration</t>
    </r>
    <r>
      <rPr>
        <vertAlign val="superscript"/>
        <sz val="11"/>
        <rFont val="Calibri"/>
        <family val="2"/>
        <scheme val="minor"/>
      </rPr>
      <t>3</t>
    </r>
  </si>
  <si>
    <r>
      <t>AAA's - Balance of Grant Award</t>
    </r>
    <r>
      <rPr>
        <vertAlign val="superscript"/>
        <sz val="11"/>
        <rFont val="Calibri"/>
        <family val="2"/>
        <scheme val="minor"/>
      </rPr>
      <t>5</t>
    </r>
  </si>
  <si>
    <t>Test of Rounding</t>
  </si>
  <si>
    <t xml:space="preserve">  3.  Area Agency Administration computed using 10% of the original grant award balance for programs III-B, III-C1, III-C2, and III-E (III-D amount</t>
  </si>
  <si>
    <t xml:space="preserve"> is included for calculation purposes only).</t>
  </si>
  <si>
    <t xml:space="preserve">  2.  Ombudsman Allocation from IIIB must be same as 2000 ($404,660).</t>
  </si>
  <si>
    <r>
      <t>Long Term Care Ombudsman Program</t>
    </r>
    <r>
      <rPr>
        <vertAlign val="superscript"/>
        <sz val="11"/>
        <rFont val="Calibri"/>
        <family val="2"/>
        <scheme val="minor"/>
      </rPr>
      <t>2</t>
    </r>
  </si>
  <si>
    <t>III-C1</t>
  </si>
  <si>
    <t>III-C2</t>
  </si>
  <si>
    <r>
      <t>III-D</t>
    </r>
    <r>
      <rPr>
        <b/>
        <vertAlign val="superscript"/>
        <sz val="11"/>
        <rFont val="Calibri"/>
        <family val="2"/>
        <scheme val="minor"/>
      </rPr>
      <t>4</t>
    </r>
  </si>
  <si>
    <t>Title III-B</t>
  </si>
  <si>
    <t>Title III-C1</t>
  </si>
  <si>
    <t>Title III-C2</t>
  </si>
  <si>
    <t>Title III-E</t>
  </si>
  <si>
    <t xml:space="preserve">Florida's Allotments Under The Older Americans Act </t>
  </si>
  <si>
    <t>65 and Over Medically Underserved</t>
  </si>
  <si>
    <t>Grant Award: 2013 Older Americans Act Allocation</t>
  </si>
  <si>
    <t>Title VII, Contract Period 1/1/13 - 12/31/13</t>
  </si>
  <si>
    <t>A7013</t>
  </si>
  <si>
    <t>B7013</t>
  </si>
  <si>
    <t>C7013</t>
  </si>
  <si>
    <t>D7013</t>
  </si>
  <si>
    <t>E7013</t>
  </si>
  <si>
    <t>F7013</t>
  </si>
  <si>
    <t>G7013</t>
  </si>
  <si>
    <t>H7013</t>
  </si>
  <si>
    <t>I7013</t>
  </si>
  <si>
    <t>J7013</t>
  </si>
  <si>
    <t>K7013</t>
  </si>
  <si>
    <t>Grant GEA13</t>
  </si>
  <si>
    <t xml:space="preserve">  5.  Contract Period:  January 1, 2013 through December 31, 2013.</t>
  </si>
  <si>
    <t>2013 Award</t>
  </si>
  <si>
    <t>Balance Allocated Using 2013 Population Projections (2000 Census)</t>
  </si>
  <si>
    <t>FY 2012-13</t>
  </si>
  <si>
    <t>2013 FACTORS FOR OAA INTRASTATE FORMULA</t>
  </si>
  <si>
    <t xml:space="preserve"> from Planning and Evaluation DEC 2012</t>
  </si>
  <si>
    <r>
      <rPr>
        <b/>
        <sz val="10"/>
        <rFont val="Calibri"/>
        <family val="2"/>
      </rPr>
      <t xml:space="preserve">60+ </t>
    </r>
    <r>
      <rPr>
        <sz val="10"/>
        <rFont val="Calibri"/>
        <family val="2"/>
      </rPr>
      <t xml:space="preserve">: Florida Legislature, Office of Economic and Demographic Research.
</t>
    </r>
    <r>
      <rPr>
        <b/>
        <sz val="10"/>
        <rFont val="Calibri"/>
        <family val="2"/>
      </rPr>
      <t>Population 60+ with Income Below the Poverty Level</t>
    </r>
    <r>
      <rPr>
        <sz val="10"/>
        <rFont val="Calibri"/>
        <family val="2"/>
      </rPr>
      <t xml:space="preserve">: DOEA calculation based on 1) Florida population data from Florida Legislature, Office of Economic and Demographic Research projections and 2) data from 2005-2009 American Community Survey, Special Tabulation on Aging – Population Characteristics / prepared by the U.S. Census Bureau, 2011.
</t>
    </r>
    <r>
      <rPr>
        <b/>
        <sz val="10"/>
        <rFont val="Calibri"/>
        <family val="2"/>
      </rPr>
      <t>Minority Population 60+ with Income Below 125% of the Poverty Level</t>
    </r>
    <r>
      <rPr>
        <sz val="10"/>
        <rFont val="Calibri"/>
        <family val="2"/>
      </rPr>
      <t xml:space="preserve">: DOEA calculation based on 1) Florida population data Florida Legislature, Office of Economic and Demographic Research and 2) data from 2005-2009 American Community Survey, Special Tabulation on Aging – Population Characteristics / prepared by the U.S. Census Bureau, 2011.
</t>
    </r>
    <r>
      <rPr>
        <b/>
        <sz val="10"/>
        <rFont val="Calibri"/>
        <family val="2"/>
      </rPr>
      <t>Population 65+ with 2 or more types of disabilities</t>
    </r>
    <r>
      <rPr>
        <sz val="10"/>
        <rFont val="Calibri"/>
        <family val="2"/>
      </rPr>
      <t xml:space="preserve">:DOEA calculation based on 1) Florida population data from Florida Legislature, Office of Economic and Demographic Research and 2) data from 2009-2011 American Community Survey 3-Year Estimates.   FYI. With 36-month of data collection, a 3-year estimate is produces for geographies with 20,000 or more. In 2013, the first 5-year estimates (pooling 60 months of data collection) on the disability status of individuals will be produced for all geographies including Census tracts and block groups. (http://www.census.gov/people/disability/methodology/acs.html)
</t>
    </r>
  </si>
  <si>
    <r>
      <t>State Agency Administration 2013</t>
    </r>
    <r>
      <rPr>
        <vertAlign val="superscript"/>
        <sz val="11"/>
        <rFont val="Calibri"/>
        <family val="2"/>
        <scheme val="minor"/>
      </rPr>
      <t>1</t>
    </r>
  </si>
  <si>
    <t>AAA Administration - 2013</t>
  </si>
  <si>
    <t>AAA Service Allocation - 2013</t>
  </si>
  <si>
    <t>Grant Award 2013 for Title III and 2013 Title VII</t>
  </si>
  <si>
    <t>Low Income 60+</t>
  </si>
  <si>
    <t>Minority 60+ 125% PL</t>
  </si>
  <si>
    <t>Mobility &amp; Self Care Limitations 60+</t>
  </si>
  <si>
    <t>DeSoto</t>
  </si>
  <si>
    <t>Sum of 60+</t>
  </si>
  <si>
    <t>Sum of Low Income 60+</t>
  </si>
  <si>
    <t>Sum of Minority 60+ 125% PL</t>
  </si>
  <si>
    <t>Sum of Mobility &amp; Self Care Limitations 60+</t>
  </si>
  <si>
    <t>AREA AGENCY ADMINISTRATION ALLOCATION</t>
  </si>
  <si>
    <t>PSA 03 Pop</t>
  </si>
  <si>
    <t>CCE Svcs.</t>
  </si>
  <si>
    <t>GR Alloca Based</t>
  </si>
  <si>
    <t>Total 2003</t>
  </si>
  <si>
    <t>FY 02/03</t>
  </si>
  <si>
    <t>2003 Fed</t>
  </si>
  <si>
    <t>Based on Admin</t>
  </si>
  <si>
    <t>OAA--Adm</t>
  </si>
  <si>
    <t>Fed Amt. 2003</t>
  </si>
  <si>
    <t>Fed + GR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</si>
  <si>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</si>
  <si>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</si>
  <si>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</si>
  <si>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</si>
  <si>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</si>
  <si>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</si>
  <si>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</si>
  <si>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</si>
  <si>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</si>
  <si>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Amount over base=</t>
  </si>
  <si>
    <t>Allocation for CCE for 2002/2003.</t>
  </si>
  <si>
    <t>Using 2003 Population Data (1990 Census)</t>
  </si>
  <si>
    <t>2003 OLDER AMERICANS ACT ALLOCATION</t>
  </si>
  <si>
    <t xml:space="preserve">  1.  State Administration computed using the original grant award balance for programs III-B, III-C1, III-C2, III-D, and III-E.</t>
  </si>
  <si>
    <t>OAA Award with Carry Forward and Transfers Between Titles</t>
  </si>
  <si>
    <t>Balance Allocated Using 2011 Population Projections (2000 Census)</t>
  </si>
  <si>
    <t>Carry</t>
  </si>
  <si>
    <t>Forward</t>
  </si>
  <si>
    <t>Title III-D</t>
  </si>
  <si>
    <t>Preventive</t>
  </si>
  <si>
    <t>Health</t>
  </si>
  <si>
    <t xml:space="preserve">                                    2012 OAA CARRY FORWARD TO BE ADDED TO 2013 CONTRACTS</t>
  </si>
  <si>
    <t>PSAS</t>
  </si>
  <si>
    <t>CONTRACT NO:</t>
  </si>
  <si>
    <t>ADMIN</t>
  </si>
  <si>
    <t>III B</t>
  </si>
  <si>
    <t>III C1</t>
  </si>
  <si>
    <t>III C2</t>
  </si>
  <si>
    <t>III E</t>
  </si>
  <si>
    <t>TOTAL CARRYFORWARD</t>
  </si>
  <si>
    <t>AA112</t>
  </si>
  <si>
    <t>BA112</t>
  </si>
  <si>
    <t>CA112</t>
  </si>
  <si>
    <t>DA112</t>
  </si>
  <si>
    <t>EA112</t>
  </si>
  <si>
    <t>FA112</t>
  </si>
  <si>
    <t>GA112</t>
  </si>
  <si>
    <t>HA112</t>
  </si>
  <si>
    <t>IA112</t>
  </si>
  <si>
    <t>JA112</t>
  </si>
  <si>
    <t>KA112</t>
  </si>
  <si>
    <t xml:space="preserve">TOTAL </t>
  </si>
  <si>
    <t>2012 TITLE IIID CARRY FORWARD TO BE ADDED TO 2013 CONTRACTS</t>
  </si>
  <si>
    <t>III D1</t>
  </si>
  <si>
    <t>III D2</t>
  </si>
  <si>
    <t>TOTAL C/F</t>
  </si>
  <si>
    <t>AD012</t>
  </si>
  <si>
    <t>BD012</t>
  </si>
  <si>
    <t>CD012</t>
  </si>
  <si>
    <t>DD012</t>
  </si>
  <si>
    <t>ED012</t>
  </si>
  <si>
    <t>FD012</t>
  </si>
  <si>
    <t>GD012</t>
  </si>
  <si>
    <t>HD012</t>
  </si>
  <si>
    <t xml:space="preserve">ID012 </t>
  </si>
  <si>
    <t xml:space="preserve">JD012 </t>
  </si>
  <si>
    <t xml:space="preserve">KD012 </t>
  </si>
  <si>
    <t>2013 Older Americans Act Grant</t>
  </si>
  <si>
    <t>Florida's 2013 Allotments (Sequestration)</t>
  </si>
  <si>
    <t>Title IIIB, IIIC, IIIE</t>
  </si>
  <si>
    <t>Title IIID</t>
  </si>
  <si>
    <t>Total Carryforward</t>
  </si>
  <si>
    <t>Carryforward:</t>
  </si>
  <si>
    <t>Administrative Funding Allocation</t>
  </si>
  <si>
    <t>PSA  Pop</t>
  </si>
  <si>
    <t>CCE Services</t>
  </si>
  <si>
    <t>Total 2011</t>
  </si>
  <si>
    <t>Federal</t>
  </si>
  <si>
    <t>Gen Rev</t>
  </si>
  <si>
    <t>OAA Admin</t>
  </si>
  <si>
    <t>(Fed + GR)</t>
  </si>
  <si>
    <t>Diff.</t>
  </si>
  <si>
    <t>Allocation for CCE in 2012-2013</t>
  </si>
  <si>
    <t>Base</t>
  </si>
  <si>
    <t>Florida's 2012 Allotments (Feb 2012)</t>
  </si>
  <si>
    <t>Reduction</t>
  </si>
  <si>
    <t>Reduction %</t>
  </si>
  <si>
    <t>Florida's 2013 Allotments (additional cuts)</t>
  </si>
  <si>
    <t xml:space="preserve">  4.  For III-D, minimum amount of $1,455,665 must be evidence based according to AOA Award.</t>
  </si>
  <si>
    <t xml:space="preserve">  4.  For III-D, minimum amount of $1,468,137 must be evidence based according to AOA Award.</t>
  </si>
  <si>
    <t>Award Allocation</t>
  </si>
  <si>
    <t>Title IIIB</t>
  </si>
  <si>
    <t>Title IIIC1</t>
  </si>
  <si>
    <t>Title IIIC2</t>
  </si>
  <si>
    <t>Title IIIE</t>
  </si>
  <si>
    <t>GR Admin</t>
  </si>
  <si>
    <t>Summary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</si>
</sst>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* #,##0_);_(* \(#,##0\);_(* &quot;-&quot;??_);_(@_)"/>
    <numFmt numFmtId="166" formatCode="0.0000000%"/>
    <numFmt numFmtId="167" formatCode="#,##0.000000"/>
    <numFmt numFmtId="168" formatCode="&quot;$&quot;#,##0.00"/>
  </numFmts>
  <fonts count="33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돋움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돋움"/>
      <family val="2"/>
    </font>
    <font>
      <b/>
      <sz val="11"/>
      <name val="돋움"/>
    </font>
    <font>
      <b/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0" borderId="0"/>
    <xf numFmtId="0" fontId="4" fillId="0" borderId="0"/>
    <xf numFmtId="0" fontId="29" fillId="0" borderId="0"/>
    <xf numFmtId="43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</cellStyleXfs>
  <cellXfs count="505">
    <xf numFmtId="0" fontId="0" fillId="0" borderId="0" xfId="0"/>
    <xf numFmtId="0" fontId="5" fillId="0" borderId="0" xfId="5" applyFill="1"/>
    <xf numFmtId="0" fontId="5" fillId="0" borderId="0" xfId="5"/>
    <xf numFmtId="165" fontId="10" fillId="3" borderId="12" xfId="1" applyNumberFormat="1" applyFont="1" applyFill="1" applyBorder="1" applyAlignment="1">
      <alignment horizontal="center" wrapText="1"/>
    </xf>
    <xf numFmtId="0" fontId="10" fillId="3" borderId="12" xfId="5" applyFont="1" applyFill="1" applyBorder="1" applyAlignment="1">
      <alignment horizontal="center" wrapText="1"/>
    </xf>
    <xf numFmtId="0" fontId="11" fillId="0" borderId="0" xfId="5" applyFont="1" applyFill="1"/>
    <xf numFmtId="0" fontId="11" fillId="0" borderId="0" xfId="5" applyFont="1"/>
    <xf numFmtId="0" fontId="13" fillId="4" borderId="13" xfId="16" applyFont="1" applyFill="1" applyBorder="1"/>
    <xf numFmtId="0" fontId="13" fillId="4" borderId="14" xfId="16" applyFont="1" applyFill="1" applyBorder="1"/>
    <xf numFmtId="0" fontId="13" fillId="4" borderId="15" xfId="16" applyFont="1" applyFill="1" applyBorder="1"/>
    <xf numFmtId="0" fontId="13" fillId="4" borderId="17" xfId="16" applyFont="1" applyFill="1" applyBorder="1"/>
    <xf numFmtId="0" fontId="5" fillId="0" borderId="16" xfId="5" applyBorder="1"/>
    <xf numFmtId="0" fontId="5" fillId="0" borderId="16" xfId="5" applyFill="1" applyBorder="1"/>
    <xf numFmtId="0" fontId="5" fillId="0" borderId="19" xfId="5" applyFill="1" applyBorder="1"/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pivotButton="1" applyFont="1" applyAlignment="1">
      <alignment horizontal="center" wrapText="1"/>
    </xf>
    <xf numFmtId="0" fontId="13" fillId="0" borderId="0" xfId="0" pivotButton="1" applyFont="1" applyAlignment="1">
      <alignment horizontal="center"/>
    </xf>
    <xf numFmtId="41" fontId="13" fillId="0" borderId="0" xfId="0" applyNumberFormat="1" applyFont="1" applyAlignment="1">
      <alignment horizontal="center"/>
    </xf>
    <xf numFmtId="0" fontId="13" fillId="0" borderId="0" xfId="14" applyFont="1"/>
    <xf numFmtId="0" fontId="10" fillId="0" borderId="0" xfId="14" applyFont="1"/>
    <xf numFmtId="5" fontId="13" fillId="0" borderId="0" xfId="14" applyNumberFormat="1" applyFont="1"/>
    <xf numFmtId="166" fontId="13" fillId="0" borderId="0" xfId="14" applyNumberFormat="1" applyFont="1"/>
    <xf numFmtId="0" fontId="10" fillId="0" borderId="0" xfId="14" applyFont="1" applyBorder="1"/>
    <xf numFmtId="0" fontId="13" fillId="0" borderId="1" xfId="14" applyFont="1" applyBorder="1"/>
    <xf numFmtId="0" fontId="13" fillId="0" borderId="7" xfId="14" applyFont="1" applyBorder="1"/>
    <xf numFmtId="0" fontId="13" fillId="0" borderId="0" xfId="14" applyFont="1" applyBorder="1"/>
    <xf numFmtId="0" fontId="10" fillId="0" borderId="7" xfId="14" applyFont="1" applyBorder="1"/>
    <xf numFmtId="3" fontId="13" fillId="0" borderId="0" xfId="14" applyNumberFormat="1" applyFont="1" applyBorder="1"/>
    <xf numFmtId="0" fontId="13" fillId="0" borderId="4" xfId="14" applyFont="1" applyBorder="1"/>
    <xf numFmtId="0" fontId="13" fillId="0" borderId="6" xfId="14" applyFont="1" applyBorder="1"/>
    <xf numFmtId="3" fontId="13" fillId="0" borderId="0" xfId="14" applyNumberFormat="1" applyFont="1" applyBorder="1" applyAlignment="1">
      <alignment horizontal="center"/>
    </xf>
    <xf numFmtId="0" fontId="13" fillId="0" borderId="4" xfId="14" applyFont="1" applyFill="1" applyBorder="1"/>
    <xf numFmtId="3" fontId="13" fillId="0" borderId="6" xfId="14" applyNumberFormat="1" applyFont="1" applyFill="1" applyBorder="1"/>
    <xf numFmtId="3" fontId="13" fillId="0" borderId="7" xfId="14" applyNumberFormat="1" applyFont="1" applyBorder="1" applyAlignment="1">
      <alignment horizontal="center"/>
    </xf>
    <xf numFmtId="3" fontId="13" fillId="0" borderId="8" xfId="14" applyNumberFormat="1" applyFont="1" applyBorder="1" applyAlignment="1">
      <alignment horizontal="center"/>
    </xf>
    <xf numFmtId="0" fontId="13" fillId="0" borderId="0" xfId="14" applyFont="1" applyFill="1" applyBorder="1"/>
    <xf numFmtId="3" fontId="13" fillId="0" borderId="4" xfId="14" applyNumberFormat="1" applyFont="1" applyBorder="1" applyAlignment="1">
      <alignment horizontal="center"/>
    </xf>
    <xf numFmtId="3" fontId="13" fillId="0" borderId="3" xfId="14" applyNumberFormat="1" applyFont="1" applyBorder="1"/>
    <xf numFmtId="3" fontId="13" fillId="0" borderId="2" xfId="14" applyNumberFormat="1" applyFont="1" applyBorder="1"/>
    <xf numFmtId="3" fontId="13" fillId="0" borderId="7" xfId="14" applyNumberFormat="1" applyFont="1" applyBorder="1" applyAlignment="1">
      <alignment horizontal="left"/>
    </xf>
    <xf numFmtId="3" fontId="13" fillId="6" borderId="5" xfId="14" applyNumberFormat="1" applyFont="1" applyFill="1" applyBorder="1"/>
    <xf numFmtId="3" fontId="13" fillId="6" borderId="0" xfId="14" applyNumberFormat="1" applyFont="1" applyFill="1" applyBorder="1" applyAlignment="1">
      <alignment horizontal="center"/>
    </xf>
    <xf numFmtId="3" fontId="13" fillId="6" borderId="6" xfId="14" applyNumberFormat="1" applyFont="1" applyFill="1" applyBorder="1" applyAlignment="1">
      <alignment horizontal="center"/>
    </xf>
    <xf numFmtId="0" fontId="13" fillId="0" borderId="7" xfId="14" applyFont="1" applyBorder="1" applyAlignment="1">
      <alignment horizontal="left"/>
    </xf>
    <xf numFmtId="0" fontId="13" fillId="0" borderId="8" xfId="14" applyFont="1" applyBorder="1"/>
    <xf numFmtId="0" fontId="13" fillId="0" borderId="0" xfId="14" applyNumberFormat="1" applyFont="1" applyBorder="1" applyAlignment="1">
      <alignment horizontal="center"/>
    </xf>
    <xf numFmtId="165" fontId="13" fillId="0" borderId="0" xfId="14" applyNumberFormat="1" applyFont="1" applyBorder="1" applyAlignment="1">
      <alignment horizontal="center"/>
    </xf>
    <xf numFmtId="3" fontId="10" fillId="0" borderId="1" xfId="14" applyNumberFormat="1" applyFont="1" applyFill="1" applyBorder="1"/>
    <xf numFmtId="0" fontId="13" fillId="0" borderId="0" xfId="14" applyFont="1" applyFill="1"/>
    <xf numFmtId="166" fontId="13" fillId="0" borderId="0" xfId="14" applyNumberFormat="1" applyFont="1" applyFill="1"/>
    <xf numFmtId="37" fontId="13" fillId="0" borderId="0" xfId="14" applyNumberFormat="1" applyFont="1" applyBorder="1" applyAlignment="1">
      <alignment horizontal="right"/>
    </xf>
    <xf numFmtId="37" fontId="13" fillId="0" borderId="8" xfId="14" applyNumberFormat="1" applyFont="1" applyBorder="1" applyAlignment="1">
      <alignment horizontal="right"/>
    </xf>
    <xf numFmtId="37" fontId="13" fillId="0" borderId="0" xfId="15" applyNumberFormat="1" applyFont="1" applyBorder="1" applyAlignment="1">
      <alignment horizontal="right"/>
    </xf>
    <xf numFmtId="37" fontId="10" fillId="0" borderId="0" xfId="14" applyNumberFormat="1" applyFont="1" applyBorder="1" applyAlignment="1">
      <alignment horizontal="right"/>
    </xf>
    <xf numFmtId="37" fontId="10" fillId="0" borderId="8" xfId="14" applyNumberFormat="1" applyFont="1" applyBorder="1" applyAlignment="1">
      <alignment horizontal="right"/>
    </xf>
    <xf numFmtId="37" fontId="13" fillId="0" borderId="6" xfId="14" applyNumberFormat="1" applyFont="1" applyBorder="1" applyAlignment="1">
      <alignment horizontal="right"/>
    </xf>
    <xf numFmtId="37" fontId="13" fillId="0" borderId="5" xfId="14" applyNumberFormat="1" applyFont="1" applyBorder="1" applyAlignment="1">
      <alignment horizontal="right"/>
    </xf>
    <xf numFmtId="0" fontId="16" fillId="0" borderId="0" xfId="6" applyFont="1" applyFill="1" applyBorder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16" fillId="2" borderId="0" xfId="0" applyFont="1" applyFill="1" applyBorder="1"/>
    <xf numFmtId="0" fontId="17" fillId="2" borderId="0" xfId="0" applyFont="1" applyFill="1" applyBorder="1"/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center"/>
    </xf>
    <xf numFmtId="5" fontId="16" fillId="2" borderId="0" xfId="0" applyNumberFormat="1" applyFont="1" applyFill="1"/>
    <xf numFmtId="0" fontId="16" fillId="2" borderId="23" xfId="0" applyFont="1" applyFill="1" applyBorder="1"/>
    <xf numFmtId="0" fontId="16" fillId="2" borderId="10" xfId="0" applyFont="1" applyFill="1" applyBorder="1"/>
    <xf numFmtId="0" fontId="17" fillId="2" borderId="24" xfId="0" applyFont="1" applyFill="1" applyBorder="1"/>
    <xf numFmtId="5" fontId="16" fillId="2" borderId="0" xfId="0" applyNumberFormat="1" applyFont="1" applyFill="1" applyAlignment="1">
      <alignment horizontal="left" indent="1"/>
    </xf>
    <xf numFmtId="0" fontId="16" fillId="2" borderId="0" xfId="0" applyFont="1" applyFill="1" applyAlignment="1">
      <alignment horizontal="left" indent="1"/>
    </xf>
    <xf numFmtId="5" fontId="17" fillId="2" borderId="0" xfId="0" applyNumberFormat="1" applyFont="1" applyFill="1" applyBorder="1" applyAlignment="1">
      <alignment horizontal="center"/>
    </xf>
    <xf numFmtId="0" fontId="17" fillId="7" borderId="18" xfId="0" applyFont="1" applyFill="1" applyBorder="1" applyAlignment="1">
      <alignment horizontal="center"/>
    </xf>
    <xf numFmtId="0" fontId="17" fillId="8" borderId="18" xfId="0" applyFont="1" applyFill="1" applyBorder="1" applyAlignment="1">
      <alignment horizontal="center"/>
    </xf>
    <xf numFmtId="0" fontId="17" fillId="2" borderId="3" xfId="0" applyFont="1" applyFill="1" applyBorder="1"/>
    <xf numFmtId="0" fontId="17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7" fillId="7" borderId="29" xfId="0" applyFont="1" applyFill="1" applyBorder="1" applyAlignment="1">
      <alignment horizontal="center"/>
    </xf>
    <xf numFmtId="0" fontId="17" fillId="8" borderId="29" xfId="0" applyFont="1" applyFill="1" applyBorder="1" applyAlignment="1">
      <alignment horizontal="center"/>
    </xf>
    <xf numFmtId="0" fontId="16" fillId="0" borderId="0" xfId="0" applyFont="1" applyFill="1"/>
    <xf numFmtId="0" fontId="17" fillId="0" borderId="0" xfId="0" applyFont="1" applyFill="1"/>
    <xf numFmtId="43" fontId="16" fillId="2" borderId="0" xfId="19" applyFont="1" applyFill="1"/>
    <xf numFmtId="43" fontId="16" fillId="2" borderId="9" xfId="19" applyFont="1" applyFill="1" applyBorder="1"/>
    <xf numFmtId="43" fontId="16" fillId="0" borderId="0" xfId="19" applyFont="1" applyFill="1"/>
    <xf numFmtId="43" fontId="16" fillId="0" borderId="9" xfId="19" applyFont="1" applyFill="1" applyBorder="1"/>
    <xf numFmtId="0" fontId="17" fillId="0" borderId="29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6" quotePrefix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7" fillId="2" borderId="0" xfId="0" applyFont="1" applyFill="1" applyAlignment="1">
      <alignment horizontal="left" indent="1"/>
    </xf>
    <xf numFmtId="43" fontId="17" fillId="2" borderId="0" xfId="19" applyFont="1" applyFill="1"/>
    <xf numFmtId="0" fontId="18" fillId="2" borderId="0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/>
    </xf>
    <xf numFmtId="0" fontId="17" fillId="10" borderId="0" xfId="0" applyFont="1" applyFill="1" applyAlignment="1">
      <alignment horizontal="center"/>
    </xf>
    <xf numFmtId="164" fontId="16" fillId="10" borderId="10" xfId="0" applyNumberFormat="1" applyFont="1" applyFill="1" applyBorder="1"/>
    <xf numFmtId="164" fontId="17" fillId="10" borderId="24" xfId="0" applyNumberFormat="1" applyFont="1" applyFill="1" applyBorder="1"/>
    <xf numFmtId="0" fontId="7" fillId="11" borderId="0" xfId="0" applyFont="1" applyFill="1"/>
    <xf numFmtId="0" fontId="7" fillId="11" borderId="20" xfId="0" applyFont="1" applyFill="1" applyBorder="1" applyAlignment="1">
      <alignment horizontal="center" wrapText="1"/>
    </xf>
    <xf numFmtId="164" fontId="13" fillId="12" borderId="0" xfId="0" applyNumberFormat="1" applyFont="1" applyFill="1" applyAlignment="1">
      <alignment horizontal="right"/>
    </xf>
    <xf numFmtId="164" fontId="7" fillId="11" borderId="21" xfId="0" applyNumberFormat="1" applyFont="1" applyFill="1" applyBorder="1" applyAlignment="1">
      <alignment horizontal="right"/>
    </xf>
    <xf numFmtId="0" fontId="17" fillId="1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0" fillId="3" borderId="11" xfId="5" applyFont="1" applyFill="1" applyBorder="1" applyAlignment="1">
      <alignment wrapText="1"/>
    </xf>
    <xf numFmtId="0" fontId="10" fillId="3" borderId="12" xfId="5" applyFont="1" applyFill="1" applyBorder="1" applyAlignment="1">
      <alignment wrapText="1"/>
    </xf>
    <xf numFmtId="0" fontId="16" fillId="2" borderId="23" xfId="0" applyNumberFormat="1" applyFont="1" applyFill="1" applyBorder="1" applyAlignment="1">
      <alignment horizontal="center"/>
    </xf>
    <xf numFmtId="0" fontId="16" fillId="2" borderId="10" xfId="0" applyNumberFormat="1" applyFont="1" applyFill="1" applyBorder="1" applyAlignment="1">
      <alignment horizontal="center"/>
    </xf>
    <xf numFmtId="164" fontId="16" fillId="10" borderId="9" xfId="0" applyNumberFormat="1" applyFont="1" applyFill="1" applyBorder="1"/>
    <xf numFmtId="0" fontId="19" fillId="10" borderId="6" xfId="0" applyFont="1" applyFill="1" applyBorder="1" applyAlignment="1">
      <alignment horizontal="center"/>
    </xf>
    <xf numFmtId="0" fontId="13" fillId="5" borderId="9" xfId="20" applyFont="1" applyFill="1" applyBorder="1"/>
    <xf numFmtId="0" fontId="13" fillId="5" borderId="10" xfId="20" applyFont="1" applyFill="1" applyBorder="1"/>
    <xf numFmtId="0" fontId="13" fillId="5" borderId="16" xfId="20" applyFont="1" applyFill="1" applyBorder="1"/>
    <xf numFmtId="0" fontId="13" fillId="5" borderId="0" xfId="20" applyFont="1" applyFill="1" applyBorder="1"/>
    <xf numFmtId="0" fontId="14" fillId="0" borderId="0" xfId="6" applyFont="1" applyFill="1" applyAlignment="1"/>
    <xf numFmtId="0" fontId="13" fillId="0" borderId="0" xfId="4" applyFont="1" applyFill="1"/>
    <xf numFmtId="0" fontId="10" fillId="0" borderId="0" xfId="6" applyFont="1" applyFill="1" applyAlignment="1"/>
    <xf numFmtId="0" fontId="13" fillId="0" borderId="0" xfId="4" applyFont="1"/>
    <xf numFmtId="0" fontId="10" fillId="0" borderId="31" xfId="4" applyFont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31" xfId="4" applyFont="1" applyBorder="1" applyAlignment="1">
      <alignment horizontal="center"/>
    </xf>
    <xf numFmtId="6" fontId="13" fillId="0" borderId="31" xfId="3" applyNumberFormat="1" applyFont="1" applyBorder="1"/>
    <xf numFmtId="6" fontId="13" fillId="0" borderId="41" xfId="3" applyNumberFormat="1" applyFont="1" applyBorder="1"/>
    <xf numFmtId="6" fontId="13" fillId="0" borderId="32" xfId="3" applyNumberFormat="1" applyFont="1" applyBorder="1"/>
    <xf numFmtId="6" fontId="13" fillId="0" borderId="33" xfId="3" applyNumberFormat="1" applyFont="1" applyBorder="1"/>
    <xf numFmtId="0" fontId="13" fillId="0" borderId="42" xfId="4" applyFont="1" applyBorder="1" applyAlignment="1">
      <alignment horizontal="center"/>
    </xf>
    <xf numFmtId="6" fontId="13" fillId="0" borderId="27" xfId="4" applyNumberFormat="1" applyFont="1" applyBorder="1"/>
    <xf numFmtId="6" fontId="13" fillId="0" borderId="41" xfId="4" applyNumberFormat="1" applyFont="1" applyBorder="1"/>
    <xf numFmtId="0" fontId="13" fillId="0" borderId="43" xfId="4" applyFont="1" applyBorder="1" applyAlignment="1">
      <alignment horizontal="center"/>
    </xf>
    <xf numFmtId="0" fontId="13" fillId="0" borderId="44" xfId="4" applyFont="1" applyBorder="1" applyAlignment="1">
      <alignment horizontal="center"/>
    </xf>
    <xf numFmtId="6" fontId="13" fillId="0" borderId="44" xfId="4" applyNumberFormat="1" applyFont="1" applyBorder="1"/>
    <xf numFmtId="6" fontId="13" fillId="0" borderId="10" xfId="4" applyNumberFormat="1" applyFont="1" applyBorder="1"/>
    <xf numFmtId="6" fontId="13" fillId="0" borderId="0" xfId="4" applyNumberFormat="1" applyFont="1" applyFill="1" applyBorder="1"/>
    <xf numFmtId="43" fontId="13" fillId="0" borderId="0" xfId="22" applyFont="1"/>
    <xf numFmtId="0" fontId="10" fillId="0" borderId="31" xfId="4" applyFont="1" applyBorder="1" applyAlignment="1">
      <alignment horizontal="center"/>
    </xf>
    <xf numFmtId="6" fontId="10" fillId="0" borderId="31" xfId="3" applyNumberFormat="1" applyFont="1" applyBorder="1"/>
    <xf numFmtId="6" fontId="10" fillId="0" borderId="41" xfId="3" applyNumberFormat="1" applyFont="1" applyBorder="1"/>
    <xf numFmtId="6" fontId="10" fillId="0" borderId="32" xfId="3" applyNumberFormat="1" applyFont="1" applyBorder="1"/>
    <xf numFmtId="6" fontId="10" fillId="0" borderId="33" xfId="3" applyNumberFormat="1" applyFont="1" applyBorder="1"/>
    <xf numFmtId="0" fontId="10" fillId="0" borderId="45" xfId="4" applyFont="1" applyBorder="1"/>
    <xf numFmtId="6" fontId="10" fillId="0" borderId="28" xfId="4" applyNumberFormat="1" applyFont="1" applyBorder="1"/>
    <xf numFmtId="0" fontId="10" fillId="0" borderId="46" xfId="4" applyFont="1" applyBorder="1" applyAlignment="1">
      <alignment horizontal="center"/>
    </xf>
    <xf numFmtId="0" fontId="10" fillId="0" borderId="47" xfId="4" applyFont="1" applyBorder="1"/>
    <xf numFmtId="6" fontId="10" fillId="0" borderId="48" xfId="4" applyNumberFormat="1" applyFont="1" applyBorder="1"/>
    <xf numFmtId="6" fontId="10" fillId="0" borderId="47" xfId="4" applyNumberFormat="1" applyFont="1" applyBorder="1"/>
    <xf numFmtId="6" fontId="10" fillId="0" borderId="24" xfId="3" applyNumberFormat="1" applyFont="1" applyBorder="1"/>
    <xf numFmtId="6" fontId="10" fillId="0" borderId="0" xfId="4" applyNumberFormat="1" applyFont="1" applyFill="1" applyBorder="1"/>
    <xf numFmtId="0" fontId="10" fillId="0" borderId="0" xfId="4" applyFont="1"/>
    <xf numFmtId="6" fontId="13" fillId="0" borderId="0" xfId="4" applyNumberFormat="1" applyFont="1"/>
    <xf numFmtId="43" fontId="13" fillId="0" borderId="0" xfId="23" applyFont="1" applyFill="1" applyBorder="1"/>
    <xf numFmtId="0" fontId="22" fillId="0" borderId="0" xfId="4" applyFont="1" applyAlignment="1">
      <alignment horizontal="right"/>
    </xf>
    <xf numFmtId="0" fontId="23" fillId="0" borderId="0" xfId="4" applyFont="1" applyBorder="1" applyAlignment="1"/>
    <xf numFmtId="0" fontId="13" fillId="0" borderId="0" xfId="4" applyFont="1" applyFill="1" applyBorder="1"/>
    <xf numFmtId="43" fontId="13" fillId="0" borderId="9" xfId="23" applyFont="1" applyFill="1" applyBorder="1"/>
    <xf numFmtId="43" fontId="13" fillId="0" borderId="9" xfId="22" applyFont="1" applyBorder="1"/>
    <xf numFmtId="43" fontId="13" fillId="0" borderId="0" xfId="22" applyFont="1" applyBorder="1"/>
    <xf numFmtId="165" fontId="13" fillId="0" borderId="0" xfId="22" applyNumberFormat="1" applyFont="1" applyFill="1" applyBorder="1"/>
    <xf numFmtId="165" fontId="13" fillId="0" borderId="0" xfId="22" applyNumberFormat="1" applyFont="1"/>
    <xf numFmtId="11" fontId="13" fillId="0" borderId="0" xfId="4" applyNumberFormat="1" applyFont="1" applyFill="1" applyBorder="1" applyAlignment="1">
      <alignment wrapText="1"/>
    </xf>
    <xf numFmtId="0" fontId="14" fillId="2" borderId="0" xfId="0" applyFont="1" applyFill="1" applyAlignment="1"/>
    <xf numFmtId="0" fontId="17" fillId="2" borderId="0" xfId="0" applyFont="1" applyFill="1" applyAlignment="1"/>
    <xf numFmtId="0" fontId="17" fillId="2" borderId="0" xfId="0" applyFont="1" applyFill="1" applyBorder="1" applyAlignment="1"/>
    <xf numFmtId="0" fontId="13" fillId="0" borderId="31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27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41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32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42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43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44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4" applyFont="1" applyBorder="1" applyAlignment="1"/>
    <xf numFmtId="0" fontId="10" fillId="0" borderId="0" xfId="14" applyFont="1" applyBorder="1" applyAlignment="1"/>
    <xf numFmtId="10" fontId="13" fillId="0" borderId="0" xfId="15" applyNumberFormat="1" applyFont="1" applyBorder="1" applyAlignment="1">
      <alignment horizontal="right"/>
    </xf>
    <xf numFmtId="37" fontId="13" fillId="0" borderId="0" xfId="6" applyNumberFormat="1" applyFont="1" applyFill="1" applyBorder="1" applyAlignment="1">
      <alignment horizontal="right"/>
    </xf>
    <xf numFmtId="37" fontId="13" fillId="0" borderId="0" xfId="14" applyNumberFormat="1" applyFont="1" applyFill="1" applyBorder="1" applyAlignment="1">
      <alignment horizontal="right"/>
    </xf>
    <xf numFmtId="37" fontId="13" fillId="0" borderId="8" xfId="14" applyNumberFormat="1" applyFont="1" applyFill="1" applyBorder="1" applyAlignment="1">
      <alignment horizontal="right"/>
    </xf>
    <xf numFmtId="0" fontId="13" fillId="0" borderId="7" xfId="14" applyFont="1" applyBorder="1" applyAlignment="1">
      <alignment horizontal="left" indent="2"/>
    </xf>
    <xf numFmtId="37" fontId="10" fillId="0" borderId="0" xfId="15" applyNumberFormat="1" applyFont="1" applyFill="1" applyBorder="1" applyAlignment="1">
      <alignment horizontal="right"/>
    </xf>
    <xf numFmtId="37" fontId="10" fillId="0" borderId="8" xfId="15" applyNumberFormat="1" applyFont="1" applyFill="1" applyBorder="1" applyAlignment="1">
      <alignment horizontal="right"/>
    </xf>
    <xf numFmtId="0" fontId="13" fillId="0" borderId="7" xfId="14" applyFont="1" applyFill="1" applyBorder="1"/>
    <xf numFmtId="37" fontId="13" fillId="0" borderId="0" xfId="15" applyNumberFormat="1" applyFont="1" applyFill="1" applyBorder="1" applyAlignment="1">
      <alignment horizontal="right"/>
    </xf>
    <xf numFmtId="0" fontId="16" fillId="0" borderId="10" xfId="0" applyFont="1" applyFill="1" applyBorder="1"/>
    <xf numFmtId="0" fontId="16" fillId="0" borderId="10" xfId="0" applyNumberFormat="1" applyFont="1" applyFill="1" applyBorder="1" applyAlignment="1">
      <alignment horizontal="center"/>
    </xf>
    <xf numFmtId="0" fontId="25" fillId="0" borderId="0" xfId="14" applyFont="1"/>
    <xf numFmtId="0" fontId="19" fillId="8" borderId="25" xfId="0" applyFont="1" applyFill="1" applyBorder="1" applyAlignment="1">
      <alignment horizontal="center"/>
    </xf>
    <xf numFmtId="37" fontId="10" fillId="9" borderId="0" xfId="14" applyNumberFormat="1" applyFont="1" applyFill="1" applyBorder="1" applyAlignment="1">
      <alignment horizontal="right"/>
    </xf>
    <xf numFmtId="0" fontId="13" fillId="0" borderId="4" xfId="14" applyFont="1" applyBorder="1" applyAlignment="1">
      <alignment horizontal="left" indent="2"/>
    </xf>
    <xf numFmtId="0" fontId="13" fillId="0" borderId="49" xfId="14" applyFont="1" applyBorder="1"/>
    <xf numFmtId="37" fontId="13" fillId="0" borderId="9" xfId="14" applyNumberFormat="1" applyFont="1" applyBorder="1" applyAlignment="1">
      <alignment horizontal="right"/>
    </xf>
    <xf numFmtId="37" fontId="13" fillId="0" borderId="22" xfId="14" applyNumberFormat="1" applyFont="1" applyBorder="1" applyAlignment="1">
      <alignment horizontal="right"/>
    </xf>
    <xf numFmtId="0" fontId="13" fillId="0" borderId="51" xfId="14" applyFont="1" applyBorder="1"/>
    <xf numFmtId="37" fontId="13" fillId="0" borderId="51" xfId="14" applyNumberFormat="1" applyFont="1" applyBorder="1" applyAlignment="1">
      <alignment horizontal="right"/>
    </xf>
    <xf numFmtId="37" fontId="13" fillId="0" borderId="51" xfId="15" applyNumberFormat="1" applyFont="1" applyBorder="1" applyAlignment="1">
      <alignment horizontal="right"/>
    </xf>
    <xf numFmtId="37" fontId="10" fillId="0" borderId="51" xfId="14" applyNumberFormat="1" applyFont="1" applyBorder="1" applyAlignment="1">
      <alignment horizontal="right"/>
    </xf>
    <xf numFmtId="37" fontId="13" fillId="0" borderId="51" xfId="15" applyNumberFormat="1" applyFont="1" applyFill="1" applyBorder="1" applyAlignment="1">
      <alignment horizontal="right"/>
    </xf>
    <xf numFmtId="37" fontId="13" fillId="0" borderId="52" xfId="14" applyNumberFormat="1" applyFont="1" applyBorder="1" applyAlignment="1">
      <alignment horizontal="right"/>
    </xf>
    <xf numFmtId="37" fontId="13" fillId="0" borderId="51" xfId="14" applyNumberFormat="1" applyFont="1" applyFill="1" applyBorder="1" applyAlignment="1">
      <alignment horizontal="right"/>
    </xf>
    <xf numFmtId="37" fontId="10" fillId="9" borderId="51" xfId="14" applyNumberFormat="1" applyFont="1" applyFill="1" applyBorder="1" applyAlignment="1">
      <alignment horizontal="right"/>
    </xf>
    <xf numFmtId="0" fontId="13" fillId="0" borderId="31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3" fontId="10" fillId="0" borderId="0" xfId="22" applyFont="1"/>
    <xf numFmtId="43" fontId="13" fillId="0" borderId="0" xfId="4" applyNumberFormat="1" applyFont="1"/>
    <xf numFmtId="43" fontId="13" fillId="0" borderId="9" xfId="4" applyNumberFormat="1" applyFont="1" applyBorder="1"/>
    <xf numFmtId="0" fontId="13" fillId="0" borderId="0" xfId="14" applyFont="1" applyAlignment="1">
      <alignment horizontal="left" indent="2"/>
    </xf>
    <xf numFmtId="0" fontId="10" fillId="0" borderId="7" xfId="14" applyFont="1" applyBorder="1" applyAlignment="1">
      <alignment horizontal="center"/>
    </xf>
    <xf numFmtId="0" fontId="10" fillId="0" borderId="50" xfId="14" applyFont="1" applyBorder="1" applyAlignment="1">
      <alignment horizontal="center"/>
    </xf>
    <xf numFmtId="0" fontId="10" fillId="0" borderId="3" xfId="14" applyFont="1" applyBorder="1" applyAlignment="1">
      <alignment horizontal="center"/>
    </xf>
    <xf numFmtId="0" fontId="10" fillId="0" borderId="2" xfId="14" applyFont="1" applyBorder="1" applyAlignment="1">
      <alignment horizontal="center"/>
    </xf>
    <xf numFmtId="0" fontId="10" fillId="0" borderId="51" xfId="14" applyFont="1" applyBorder="1" applyAlignment="1">
      <alignment horizontal="center"/>
    </xf>
    <xf numFmtId="0" fontId="10" fillId="0" borderId="0" xfId="14" applyFont="1" applyBorder="1" applyAlignment="1">
      <alignment horizontal="center"/>
    </xf>
    <xf numFmtId="0" fontId="10" fillId="0" borderId="8" xfId="14" applyFont="1" applyBorder="1" applyAlignment="1">
      <alignment horizontal="center"/>
    </xf>
    <xf numFmtId="0" fontId="10" fillId="0" borderId="49" xfId="14" applyFont="1" applyBorder="1" applyAlignment="1">
      <alignment vertical="top"/>
    </xf>
    <xf numFmtId="0" fontId="10" fillId="0" borderId="52" xfId="14" applyFont="1" applyBorder="1" applyAlignment="1">
      <alignment horizontal="center" vertical="top"/>
    </xf>
    <xf numFmtId="0" fontId="10" fillId="0" borderId="9" xfId="14" applyFont="1" applyBorder="1" applyAlignment="1">
      <alignment horizontal="center" vertical="top"/>
    </xf>
    <xf numFmtId="0" fontId="10" fillId="0" borderId="22" xfId="14" applyFont="1" applyBorder="1" applyAlignment="1">
      <alignment horizontal="center" vertical="top"/>
    </xf>
    <xf numFmtId="0" fontId="13" fillId="0" borderId="0" xfId="14" applyFont="1" applyAlignment="1">
      <alignment vertical="top"/>
    </xf>
    <xf numFmtId="0" fontId="10" fillId="9" borderId="7" xfId="14" applyFont="1" applyFill="1" applyBorder="1"/>
    <xf numFmtId="37" fontId="13" fillId="9" borderId="51" xfId="14" applyNumberFormat="1" applyFont="1" applyFill="1" applyBorder="1" applyAlignment="1">
      <alignment horizontal="right"/>
    </xf>
    <xf numFmtId="37" fontId="13" fillId="9" borderId="0" xfId="14" applyNumberFormat="1" applyFont="1" applyFill="1" applyBorder="1" applyAlignment="1">
      <alignment horizontal="right"/>
    </xf>
    <xf numFmtId="37" fontId="13" fillId="9" borderId="8" xfId="14" applyNumberFormat="1" applyFont="1" applyFill="1" applyBorder="1" applyAlignment="1">
      <alignment horizontal="right"/>
    </xf>
    <xf numFmtId="37" fontId="13" fillId="9" borderId="0" xfId="6" applyNumberFormat="1" applyFont="1" applyFill="1" applyBorder="1" applyAlignment="1">
      <alignment horizontal="right"/>
    </xf>
    <xf numFmtId="37" fontId="10" fillId="9" borderId="8" xfId="15" applyNumberFormat="1" applyFont="1" applyFill="1" applyBorder="1" applyAlignment="1">
      <alignment horizontal="right"/>
    </xf>
    <xf numFmtId="0" fontId="13" fillId="9" borderId="7" xfId="14" applyFont="1" applyFill="1" applyBorder="1" applyAlignment="1">
      <alignment horizontal="left" indent="2"/>
    </xf>
    <xf numFmtId="37" fontId="10" fillId="9" borderId="8" xfId="14" applyNumberFormat="1" applyFont="1" applyFill="1" applyBorder="1" applyAlignment="1">
      <alignment horizontal="right"/>
    </xf>
    <xf numFmtId="165" fontId="1" fillId="0" borderId="0" xfId="20" applyNumberFormat="1" applyFill="1"/>
    <xf numFmtId="165" fontId="1" fillId="0" borderId="0" xfId="20" applyNumberFormat="1" applyFill="1" applyAlignment="1">
      <alignment horizontal="right"/>
    </xf>
    <xf numFmtId="165" fontId="0" fillId="0" borderId="0" xfId="20" applyNumberFormat="1" applyFont="1" applyFill="1" applyAlignment="1">
      <alignment horizontal="right"/>
    </xf>
    <xf numFmtId="43" fontId="13" fillId="0" borderId="8" xfId="19" applyFont="1" applyBorder="1"/>
    <xf numFmtId="43" fontId="13" fillId="0" borderId="8" xfId="19" applyFont="1" applyBorder="1" applyAlignment="1">
      <alignment horizontal="right"/>
    </xf>
    <xf numFmtId="43" fontId="13" fillId="0" borderId="5" xfId="19" applyFont="1" applyBorder="1"/>
    <xf numFmtId="37" fontId="10" fillId="0" borderId="0" xfId="14" applyNumberFormat="1" applyFont="1" applyBorder="1" applyAlignment="1"/>
    <xf numFmtId="0" fontId="27" fillId="0" borderId="0" xfId="0" applyFont="1" applyBorder="1" applyAlignment="1">
      <alignment horizontal="center" wrapText="1"/>
    </xf>
    <xf numFmtId="0" fontId="27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28" fillId="0" borderId="0" xfId="24" applyFont="1" applyFill="1" applyBorder="1" applyAlignment="1">
      <alignment horizontal="left" wrapText="1"/>
    </xf>
    <xf numFmtId="3" fontId="0" fillId="0" borderId="0" xfId="0" applyNumberFormat="1" applyBorder="1"/>
    <xf numFmtId="0" fontId="0" fillId="0" borderId="55" xfId="0" applyBorder="1"/>
    <xf numFmtId="0" fontId="28" fillId="0" borderId="54" xfId="24" applyFont="1" applyFill="1" applyBorder="1" applyAlignment="1">
      <alignment horizontal="left" wrapText="1"/>
    </xf>
    <xf numFmtId="3" fontId="0" fillId="0" borderId="54" xfId="0" applyNumberFormat="1" applyBorder="1"/>
    <xf numFmtId="3" fontId="0" fillId="0" borderId="56" xfId="0" applyNumberFormat="1" applyBorder="1"/>
    <xf numFmtId="0" fontId="13" fillId="0" borderId="0" xfId="0" pivotButton="1" applyFont="1"/>
    <xf numFmtId="41" fontId="13" fillId="0" borderId="0" xfId="0" applyNumberFormat="1" applyFont="1"/>
    <xf numFmtId="5" fontId="16" fillId="0" borderId="9" xfId="0" applyNumberFormat="1" applyFont="1" applyFill="1" applyBorder="1"/>
    <xf numFmtId="3" fontId="16" fillId="0" borderId="9" xfId="0" applyNumberFormat="1" applyFont="1" applyFill="1" applyBorder="1"/>
    <xf numFmtId="167" fontId="16" fillId="0" borderId="9" xfId="0" applyNumberFormat="1" applyFont="1" applyFill="1" applyBorder="1"/>
    <xf numFmtId="0" fontId="16" fillId="0" borderId="9" xfId="0" applyFont="1" applyFill="1" applyBorder="1"/>
    <xf numFmtId="0" fontId="16" fillId="0" borderId="9" xfId="0" applyFont="1" applyFill="1" applyBorder="1" applyAlignment="1">
      <alignment horizontal="center"/>
    </xf>
    <xf numFmtId="5" fontId="16" fillId="0" borderId="0" xfId="0" applyNumberFormat="1" applyFont="1" applyFill="1"/>
    <xf numFmtId="3" fontId="16" fillId="0" borderId="0" xfId="0" applyNumberFormat="1" applyFont="1" applyFill="1"/>
    <xf numFmtId="167" fontId="16" fillId="0" borderId="0" xfId="0" applyNumberFormat="1" applyFont="1" applyFill="1"/>
    <xf numFmtId="0" fontId="16" fillId="0" borderId="6" xfId="0" applyFont="1" applyFill="1" applyBorder="1" applyAlignment="1">
      <alignment horizontal="center"/>
    </xf>
    <xf numFmtId="0" fontId="16" fillId="0" borderId="6" xfId="0" applyFont="1" applyFill="1" applyBorder="1"/>
    <xf numFmtId="3" fontId="16" fillId="0" borderId="6" xfId="0" applyNumberFormat="1" applyFont="1" applyFill="1" applyBorder="1"/>
    <xf numFmtId="5" fontId="16" fillId="0" borderId="6" xfId="0" applyNumberFormat="1" applyFont="1" applyFill="1" applyBorder="1"/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/>
    <xf numFmtId="0" fontId="17" fillId="0" borderId="0" xfId="0" quotePrefix="1" applyFont="1" applyFill="1" applyBorder="1" applyAlignment="1"/>
    <xf numFmtId="5" fontId="17" fillId="0" borderId="0" xfId="0" applyNumberFormat="1" applyFont="1" applyFill="1"/>
    <xf numFmtId="3" fontId="17" fillId="0" borderId="0" xfId="0" applyNumberFormat="1" applyFont="1" applyFill="1"/>
    <xf numFmtId="167" fontId="17" fillId="0" borderId="0" xfId="0" applyNumberFormat="1" applyFont="1" applyFill="1"/>
    <xf numFmtId="0" fontId="16" fillId="0" borderId="0" xfId="0" applyFont="1" applyFill="1" applyBorder="1"/>
    <xf numFmtId="3" fontId="16" fillId="0" borderId="0" xfId="0" applyNumberFormat="1" applyFont="1" applyFill="1" applyBorder="1"/>
    <xf numFmtId="5" fontId="16" fillId="0" borderId="0" xfId="0" applyNumberFormat="1" applyFont="1" applyFill="1" applyBorder="1"/>
    <xf numFmtId="0" fontId="16" fillId="0" borderId="0" xfId="0" applyFont="1" applyFill="1" applyAlignment="1">
      <alignment horizontal="right"/>
    </xf>
    <xf numFmtId="0" fontId="16" fillId="0" borderId="50" xfId="0" applyFont="1" applyFill="1" applyBorder="1"/>
    <xf numFmtId="5" fontId="16" fillId="0" borderId="52" xfId="0" applyNumberFormat="1" applyFont="1" applyFill="1" applyBorder="1"/>
    <xf numFmtId="5" fontId="16" fillId="0" borderId="51" xfId="0" applyNumberFormat="1" applyFont="1" applyFill="1" applyBorder="1"/>
    <xf numFmtId="5" fontId="17" fillId="0" borderId="51" xfId="0" applyNumberFormat="1" applyFont="1" applyFill="1" applyBorder="1"/>
    <xf numFmtId="5" fontId="16" fillId="0" borderId="53" xfId="0" applyNumberFormat="1" applyFont="1" applyFill="1" applyBorder="1"/>
    <xf numFmtId="0" fontId="16" fillId="0" borderId="3" xfId="0" applyFont="1" applyFill="1" applyBorder="1"/>
    <xf numFmtId="5" fontId="17" fillId="0" borderId="0" xfId="0" applyNumberFormat="1" applyFont="1" applyFill="1" applyBorder="1"/>
    <xf numFmtId="0" fontId="16" fillId="0" borderId="57" xfId="0" applyFont="1" applyFill="1" applyBorder="1"/>
    <xf numFmtId="5" fontId="16" fillId="0" borderId="58" xfId="0" applyNumberFormat="1" applyFont="1" applyFill="1" applyBorder="1"/>
    <xf numFmtId="5" fontId="16" fillId="0" borderId="59" xfId="0" applyNumberFormat="1" applyFont="1" applyFill="1" applyBorder="1"/>
    <xf numFmtId="5" fontId="17" fillId="0" borderId="59" xfId="0" applyNumberFormat="1" applyFont="1" applyFill="1" applyBorder="1"/>
    <xf numFmtId="5" fontId="16" fillId="0" borderId="60" xfId="0" applyNumberFormat="1" applyFont="1" applyFill="1" applyBorder="1"/>
    <xf numFmtId="0" fontId="10" fillId="0" borderId="3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7" fontId="17" fillId="2" borderId="0" xfId="0" applyNumberFormat="1" applyFont="1" applyFill="1" applyBorder="1" applyAlignment="1"/>
    <xf numFmtId="7" fontId="16" fillId="2" borderId="0" xfId="0" applyNumberFormat="1" applyFont="1" applyFill="1" applyBorder="1"/>
    <xf numFmtId="0" fontId="13" fillId="0" borderId="40" xfId="4" applyNumberFormat="1" applyFont="1" applyFill="1" applyBorder="1" applyAlignment="1" applyProtection="1">
      <alignment horizontal="center" vertical="center" wrapText="1"/>
      <protection locked="0"/>
    </xf>
    <xf numFmtId="3" fontId="21" fillId="0" borderId="40" xfId="4" applyNumberFormat="1" applyFont="1" applyFill="1" applyBorder="1"/>
    <xf numFmtId="3" fontId="21" fillId="0" borderId="27" xfId="4" applyNumberFormat="1" applyFont="1" applyFill="1" applyBorder="1"/>
    <xf numFmtId="3" fontId="10" fillId="0" borderId="40" xfId="4" applyNumberFormat="1" applyFont="1" applyFill="1" applyBorder="1" applyAlignment="1" applyProtection="1">
      <alignment horizontal="right"/>
    </xf>
    <xf numFmtId="3" fontId="10" fillId="0" borderId="27" xfId="4" applyNumberFormat="1" applyFont="1" applyFill="1" applyBorder="1" applyAlignment="1" applyProtection="1">
      <alignment horizontal="right"/>
    </xf>
    <xf numFmtId="0" fontId="13" fillId="13" borderId="27" xfId="4" applyNumberFormat="1" applyFont="1" applyFill="1" applyBorder="1" applyAlignment="1" applyProtection="1">
      <alignment horizontal="center" vertical="center" wrapText="1"/>
      <protection locked="0"/>
    </xf>
    <xf numFmtId="6" fontId="13" fillId="13" borderId="27" xfId="3" applyNumberFormat="1" applyFont="1" applyFill="1" applyBorder="1"/>
    <xf numFmtId="6" fontId="10" fillId="13" borderId="27" xfId="3" applyNumberFormat="1" applyFont="1" applyFill="1" applyBorder="1"/>
    <xf numFmtId="37" fontId="13" fillId="0" borderId="53" xfId="15" applyNumberFormat="1" applyFont="1" applyBorder="1" applyAlignment="1">
      <alignment horizontal="right"/>
    </xf>
    <xf numFmtId="0" fontId="14" fillId="2" borderId="0" xfId="6" applyFont="1" applyFill="1" applyAlignment="1"/>
    <xf numFmtId="0" fontId="16" fillId="0" borderId="0" xfId="6" applyFont="1" applyFill="1"/>
    <xf numFmtId="0" fontId="17" fillId="2" borderId="0" xfId="6" applyFont="1" applyFill="1" applyAlignment="1"/>
    <xf numFmtId="0" fontId="17" fillId="2" borderId="0" xfId="6" applyFont="1" applyFill="1" applyBorder="1" applyAlignment="1"/>
    <xf numFmtId="0" fontId="16" fillId="2" borderId="0" xfId="6" applyFont="1" applyFill="1" applyBorder="1"/>
    <xf numFmtId="0" fontId="17" fillId="0" borderId="0" xfId="6" applyFont="1" applyFill="1" applyBorder="1"/>
    <xf numFmtId="0" fontId="17" fillId="2" borderId="0" xfId="6" applyFont="1" applyFill="1" applyBorder="1"/>
    <xf numFmtId="0" fontId="16" fillId="2" borderId="0" xfId="6" applyFont="1" applyFill="1" applyBorder="1" applyAlignment="1">
      <alignment horizontal="center"/>
    </xf>
    <xf numFmtId="0" fontId="17" fillId="7" borderId="18" xfId="6" applyFont="1" applyFill="1" applyBorder="1" applyAlignment="1">
      <alignment horizontal="center"/>
    </xf>
    <xf numFmtId="0" fontId="17" fillId="8" borderId="18" xfId="6" applyFont="1" applyFill="1" applyBorder="1" applyAlignment="1">
      <alignment horizontal="center"/>
    </xf>
    <xf numFmtId="0" fontId="17" fillId="0" borderId="18" xfId="6" applyFont="1" applyFill="1" applyBorder="1" applyAlignment="1">
      <alignment horizontal="center"/>
    </xf>
    <xf numFmtId="0" fontId="17" fillId="0" borderId="0" xfId="6" applyFont="1" applyFill="1" applyBorder="1" applyAlignment="1">
      <alignment horizontal="center"/>
    </xf>
    <xf numFmtId="0" fontId="17" fillId="0" borderId="0" xfId="6" applyFont="1" applyFill="1"/>
    <xf numFmtId="0" fontId="16" fillId="2" borderId="0" xfId="6" applyFont="1" applyFill="1"/>
    <xf numFmtId="5" fontId="16" fillId="2" borderId="0" xfId="6" applyNumberFormat="1" applyFont="1" applyFill="1" applyBorder="1" applyAlignment="1">
      <alignment horizontal="center"/>
    </xf>
    <xf numFmtId="0" fontId="19" fillId="2" borderId="0" xfId="6" applyFont="1" applyFill="1" applyBorder="1" applyAlignment="1">
      <alignment horizontal="center"/>
    </xf>
    <xf numFmtId="0" fontId="19" fillId="8" borderId="18" xfId="6" applyFont="1" applyFill="1" applyBorder="1" applyAlignment="1">
      <alignment horizontal="center"/>
    </xf>
    <xf numFmtId="0" fontId="16" fillId="2" borderId="23" xfId="6" applyNumberFormat="1" applyFont="1" applyFill="1" applyBorder="1" applyAlignment="1">
      <alignment horizontal="center"/>
    </xf>
    <xf numFmtId="168" fontId="16" fillId="0" borderId="0" xfId="6" applyNumberFormat="1" applyFont="1" applyFill="1"/>
    <xf numFmtId="0" fontId="16" fillId="2" borderId="10" xfId="6" applyNumberFormat="1" applyFont="1" applyFill="1" applyBorder="1" applyAlignment="1">
      <alignment horizontal="center"/>
    </xf>
    <xf numFmtId="0" fontId="16" fillId="0" borderId="10" xfId="6" applyNumberFormat="1" applyFont="1" applyFill="1" applyBorder="1" applyAlignment="1">
      <alignment horizontal="center"/>
    </xf>
    <xf numFmtId="5" fontId="16" fillId="2" borderId="0" xfId="6" applyNumberFormat="1" applyFont="1" applyFill="1"/>
    <xf numFmtId="5" fontId="17" fillId="2" borderId="0" xfId="6" applyNumberFormat="1" applyFont="1" applyFill="1" applyBorder="1"/>
    <xf numFmtId="0" fontId="17" fillId="2" borderId="0" xfId="6" applyFont="1" applyFill="1"/>
    <xf numFmtId="7" fontId="16" fillId="0" borderId="0" xfId="6" applyNumberFormat="1" applyFont="1" applyFill="1"/>
    <xf numFmtId="0" fontId="17" fillId="0" borderId="0" xfId="6" applyFont="1" applyFill="1" applyAlignment="1">
      <alignment horizontal="right"/>
    </xf>
    <xf numFmtId="0" fontId="16" fillId="0" borderId="0" xfId="6" applyFont="1" applyFill="1" applyAlignment="1">
      <alignment horizontal="left" indent="2"/>
    </xf>
    <xf numFmtId="0" fontId="14" fillId="14" borderId="0" xfId="6" applyFont="1" applyFill="1" applyAlignment="1"/>
    <xf numFmtId="0" fontId="13" fillId="14" borderId="0" xfId="6" applyFont="1" applyFill="1"/>
    <xf numFmtId="0" fontId="10" fillId="14" borderId="0" xfId="6" applyFont="1" applyFill="1" applyAlignment="1"/>
    <xf numFmtId="0" fontId="10" fillId="14" borderId="0" xfId="6" applyFont="1" applyFill="1" applyAlignment="1">
      <alignment horizontal="center"/>
    </xf>
    <xf numFmtId="0" fontId="10" fillId="14" borderId="3" xfId="6" applyFont="1" applyFill="1" applyBorder="1" applyAlignment="1">
      <alignment horizontal="center"/>
    </xf>
    <xf numFmtId="0" fontId="10" fillId="6" borderId="3" xfId="6" applyFont="1" applyFill="1" applyBorder="1" applyAlignment="1">
      <alignment horizontal="center"/>
    </xf>
    <xf numFmtId="0" fontId="10" fillId="15" borderId="29" xfId="6" applyFont="1" applyFill="1" applyBorder="1" applyAlignment="1">
      <alignment horizontal="center"/>
    </xf>
    <xf numFmtId="0" fontId="10" fillId="9" borderId="29" xfId="6" applyFont="1" applyFill="1" applyBorder="1" applyAlignment="1">
      <alignment horizontal="center"/>
    </xf>
    <xf numFmtId="0" fontId="10" fillId="14" borderId="61" xfId="6" applyFont="1" applyFill="1" applyBorder="1" applyAlignment="1">
      <alignment horizontal="center"/>
    </xf>
    <xf numFmtId="0" fontId="10" fillId="14" borderId="0" xfId="6" applyFont="1" applyFill="1" applyBorder="1"/>
    <xf numFmtId="0" fontId="10" fillId="14" borderId="0" xfId="6" applyFont="1" applyFill="1"/>
    <xf numFmtId="0" fontId="10" fillId="14" borderId="0" xfId="6" applyFont="1" applyFill="1" applyBorder="1" applyAlignment="1">
      <alignment horizontal="center"/>
    </xf>
    <xf numFmtId="0" fontId="10" fillId="6" borderId="0" xfId="6" applyFont="1" applyFill="1" applyBorder="1" applyAlignment="1">
      <alignment horizontal="center"/>
    </xf>
    <xf numFmtId="5" fontId="10" fillId="14" borderId="0" xfId="6" applyNumberFormat="1" applyFont="1" applyFill="1" applyBorder="1" applyAlignment="1">
      <alignment horizontal="center"/>
    </xf>
    <xf numFmtId="5" fontId="10" fillId="15" borderId="18" xfId="6" applyNumberFormat="1" applyFont="1" applyFill="1" applyBorder="1" applyAlignment="1">
      <alignment horizontal="center"/>
    </xf>
    <xf numFmtId="5" fontId="10" fillId="9" borderId="18" xfId="6" applyNumberFormat="1" applyFont="1" applyFill="1" applyBorder="1" applyAlignment="1">
      <alignment horizontal="center"/>
    </xf>
    <xf numFmtId="0" fontId="10" fillId="14" borderId="62" xfId="6" applyFont="1" applyFill="1" applyBorder="1" applyAlignment="1">
      <alignment horizontal="center"/>
    </xf>
    <xf numFmtId="0" fontId="10" fillId="15" borderId="18" xfId="6" applyFont="1" applyFill="1" applyBorder="1" applyAlignment="1">
      <alignment horizontal="center"/>
    </xf>
    <xf numFmtId="0" fontId="10" fillId="9" borderId="18" xfId="6" applyFont="1" applyFill="1" applyBorder="1" applyAlignment="1">
      <alignment horizontal="center"/>
    </xf>
    <xf numFmtId="0" fontId="10" fillId="14" borderId="6" xfId="6" applyFont="1" applyFill="1" applyBorder="1" applyAlignment="1">
      <alignment horizontal="center"/>
    </xf>
    <xf numFmtId="0" fontId="10" fillId="6" borderId="6" xfId="6" applyFont="1" applyFill="1" applyBorder="1" applyAlignment="1">
      <alignment horizontal="center"/>
    </xf>
    <xf numFmtId="0" fontId="10" fillId="15" borderId="25" xfId="6" applyFont="1" applyFill="1" applyBorder="1" applyAlignment="1">
      <alignment horizontal="center"/>
    </xf>
    <xf numFmtId="0" fontId="10" fillId="9" borderId="25" xfId="6" applyFont="1" applyFill="1" applyBorder="1" applyAlignment="1">
      <alignment horizontal="center"/>
    </xf>
    <xf numFmtId="0" fontId="10" fillId="14" borderId="69" xfId="6" applyFont="1" applyFill="1" applyBorder="1" applyAlignment="1">
      <alignment horizontal="center"/>
    </xf>
    <xf numFmtId="0" fontId="10" fillId="14" borderId="6" xfId="6" quotePrefix="1" applyFont="1" applyFill="1" applyBorder="1" applyAlignment="1">
      <alignment horizontal="center"/>
    </xf>
    <xf numFmtId="0" fontId="13" fillId="14" borderId="9" xfId="6" applyNumberFormat="1" applyFont="1" applyFill="1" applyBorder="1" applyAlignment="1">
      <alignment horizontal="left" indent="1"/>
    </xf>
    <xf numFmtId="3" fontId="13" fillId="14" borderId="9" xfId="6" applyNumberFormat="1" applyFont="1" applyFill="1" applyBorder="1"/>
    <xf numFmtId="167" fontId="13" fillId="14" borderId="9" xfId="6" applyNumberFormat="1" applyFont="1" applyFill="1" applyBorder="1"/>
    <xf numFmtId="0" fontId="13" fillId="14" borderId="9" xfId="6" applyFont="1" applyFill="1" applyBorder="1"/>
    <xf numFmtId="10" fontId="13" fillId="14" borderId="23" xfId="6" applyNumberFormat="1" applyFont="1" applyFill="1" applyBorder="1"/>
    <xf numFmtId="10" fontId="13" fillId="14" borderId="9" xfId="6" applyNumberFormat="1" applyFont="1" applyFill="1" applyBorder="1"/>
    <xf numFmtId="0" fontId="10" fillId="14" borderId="6" xfId="6" applyFont="1" applyFill="1" applyBorder="1"/>
    <xf numFmtId="3" fontId="10" fillId="14" borderId="6" xfId="6" applyNumberFormat="1" applyFont="1" applyFill="1" applyBorder="1"/>
    <xf numFmtId="167" fontId="10" fillId="14" borderId="6" xfId="6" applyNumberFormat="1" applyFont="1" applyFill="1" applyBorder="1"/>
    <xf numFmtId="10" fontId="10" fillId="14" borderId="6" xfId="6" applyNumberFormat="1" applyFont="1" applyFill="1" applyBorder="1"/>
    <xf numFmtId="5" fontId="10" fillId="14" borderId="0" xfId="6" applyNumberFormat="1" applyFont="1" applyFill="1"/>
    <xf numFmtId="3" fontId="10" fillId="14" borderId="0" xfId="6" applyNumberFormat="1" applyFont="1" applyFill="1"/>
    <xf numFmtId="167" fontId="10" fillId="14" borderId="0" xfId="6" applyNumberFormat="1" applyFont="1" applyFill="1"/>
    <xf numFmtId="5" fontId="10" fillId="14" borderId="0" xfId="6" applyNumberFormat="1" applyFont="1" applyFill="1" applyBorder="1"/>
    <xf numFmtId="10" fontId="10" fillId="14" borderId="0" xfId="6" applyNumberFormat="1" applyFont="1" applyFill="1" applyBorder="1"/>
    <xf numFmtId="0" fontId="10" fillId="14" borderId="0" xfId="6" applyFont="1" applyFill="1" applyAlignment="1">
      <alignment horizontal="right"/>
    </xf>
    <xf numFmtId="167" fontId="13" fillId="14" borderId="0" xfId="6" applyNumberFormat="1" applyFont="1" applyFill="1"/>
    <xf numFmtId="43" fontId="13" fillId="14" borderId="0" xfId="27" applyFont="1" applyFill="1"/>
    <xf numFmtId="43" fontId="10" fillId="14" borderId="0" xfId="6" applyNumberFormat="1" applyFont="1" applyFill="1" applyBorder="1"/>
    <xf numFmtId="43" fontId="13" fillId="14" borderId="9" xfId="27" applyFont="1" applyFill="1" applyBorder="1"/>
    <xf numFmtId="5" fontId="13" fillId="14" borderId="0" xfId="6" applyNumberFormat="1" applyFont="1" applyFill="1"/>
    <xf numFmtId="0" fontId="13" fillId="14" borderId="0" xfId="6" quotePrefix="1" applyFont="1" applyFill="1"/>
    <xf numFmtId="10" fontId="13" fillId="0" borderId="51" xfId="28" applyNumberFormat="1" applyFont="1" applyFill="1" applyBorder="1" applyAlignment="1">
      <alignment horizontal="right"/>
    </xf>
    <xf numFmtId="10" fontId="13" fillId="0" borderId="59" xfId="28" applyNumberFormat="1" applyFont="1" applyFill="1" applyBorder="1" applyAlignment="1">
      <alignment horizontal="right"/>
    </xf>
    <xf numFmtId="10" fontId="13" fillId="0" borderId="0" xfId="28" applyNumberFormat="1" applyFont="1" applyFill="1" applyBorder="1" applyAlignment="1">
      <alignment horizontal="right"/>
    </xf>
    <xf numFmtId="10" fontId="13" fillId="0" borderId="8" xfId="28" applyNumberFormat="1" applyFont="1" applyFill="1" applyBorder="1" applyAlignment="1">
      <alignment horizontal="right"/>
    </xf>
    <xf numFmtId="0" fontId="13" fillId="9" borderId="7" xfId="14" applyFont="1" applyFill="1" applyBorder="1"/>
    <xf numFmtId="43" fontId="16" fillId="2" borderId="23" xfId="19" applyFont="1" applyFill="1" applyBorder="1"/>
    <xf numFmtId="43" fontId="16" fillId="7" borderId="26" xfId="19" applyFont="1" applyFill="1" applyBorder="1"/>
    <xf numFmtId="43" fontId="16" fillId="8" borderId="26" xfId="19" applyFont="1" applyFill="1" applyBorder="1"/>
    <xf numFmtId="43" fontId="16" fillId="0" borderId="26" xfId="19" applyFont="1" applyFill="1" applyBorder="1"/>
    <xf numFmtId="43" fontId="16" fillId="0" borderId="23" xfId="19" applyFont="1" applyFill="1" applyBorder="1"/>
    <xf numFmtId="43" fontId="16" fillId="2" borderId="10" xfId="19" applyFont="1" applyFill="1" applyBorder="1"/>
    <xf numFmtId="43" fontId="16" fillId="7" borderId="27" xfId="19" applyFont="1" applyFill="1" applyBorder="1"/>
    <xf numFmtId="43" fontId="16" fillId="8" borderId="27" xfId="19" applyFont="1" applyFill="1" applyBorder="1"/>
    <xf numFmtId="43" fontId="16" fillId="0" borderId="27" xfId="19" applyFont="1" applyFill="1" applyBorder="1"/>
    <xf numFmtId="43" fontId="16" fillId="0" borderId="10" xfId="19" applyFont="1" applyFill="1" applyBorder="1"/>
    <xf numFmtId="43" fontId="17" fillId="0" borderId="0" xfId="19" applyFont="1" applyFill="1"/>
    <xf numFmtId="0" fontId="13" fillId="0" borderId="0" xfId="4" applyNumberFormat="1" applyFont="1" applyFill="1" applyBorder="1" applyAlignment="1" applyProtection="1">
      <alignment horizontal="center" vertical="center" wrapText="1"/>
      <protection locked="0"/>
    </xf>
    <xf numFmtId="8" fontId="16" fillId="2" borderId="10" xfId="19" applyNumberFormat="1" applyFont="1" applyFill="1" applyBorder="1"/>
    <xf numFmtId="8" fontId="16" fillId="2" borderId="23" xfId="19" applyNumberFormat="1" applyFont="1" applyFill="1" applyBorder="1"/>
    <xf numFmtId="8" fontId="16" fillId="7" borderId="26" xfId="19" applyNumberFormat="1" applyFont="1" applyFill="1" applyBorder="1"/>
    <xf numFmtId="8" fontId="16" fillId="8" borderId="30" xfId="19" applyNumberFormat="1" applyFont="1" applyFill="1" applyBorder="1"/>
    <xf numFmtId="8" fontId="16" fillId="0" borderId="26" xfId="19" applyNumberFormat="1" applyFont="1" applyFill="1" applyBorder="1"/>
    <xf numFmtId="8" fontId="16" fillId="6" borderId="23" xfId="19" applyNumberFormat="1" applyFont="1" applyFill="1" applyBorder="1"/>
    <xf numFmtId="8" fontId="16" fillId="7" borderId="27" xfId="19" applyNumberFormat="1" applyFont="1" applyFill="1" applyBorder="1"/>
    <xf numFmtId="8" fontId="16" fillId="0" borderId="27" xfId="19" applyNumberFormat="1" applyFont="1" applyFill="1" applyBorder="1"/>
    <xf numFmtId="8" fontId="16" fillId="6" borderId="10" xfId="19" applyNumberFormat="1" applyFont="1" applyFill="1" applyBorder="1"/>
    <xf numFmtId="8" fontId="16" fillId="0" borderId="10" xfId="19" applyNumberFormat="1" applyFont="1" applyFill="1" applyBorder="1"/>
    <xf numFmtId="8" fontId="17" fillId="2" borderId="24" xfId="19" applyNumberFormat="1" applyFont="1" applyFill="1" applyBorder="1"/>
    <xf numFmtId="8" fontId="17" fillId="7" borderId="28" xfId="19" applyNumberFormat="1" applyFont="1" applyFill="1" applyBorder="1"/>
    <xf numFmtId="8" fontId="17" fillId="8" borderId="28" xfId="19" applyNumberFormat="1" applyFont="1" applyFill="1" applyBorder="1"/>
    <xf numFmtId="8" fontId="17" fillId="0" borderId="28" xfId="19" applyNumberFormat="1" applyFont="1" applyFill="1" applyBorder="1"/>
    <xf numFmtId="8" fontId="17" fillId="6" borderId="24" xfId="19" applyNumberFormat="1" applyFont="1" applyFill="1" applyBorder="1"/>
    <xf numFmtId="6" fontId="10" fillId="6" borderId="6" xfId="6" applyNumberFormat="1" applyFont="1" applyFill="1" applyBorder="1"/>
    <xf numFmtId="6" fontId="13" fillId="14" borderId="9" xfId="6" applyNumberFormat="1" applyFont="1" applyFill="1" applyBorder="1"/>
    <xf numFmtId="6" fontId="10" fillId="14" borderId="6" xfId="6" applyNumberFormat="1" applyFont="1" applyFill="1" applyBorder="1"/>
    <xf numFmtId="6" fontId="13" fillId="15" borderId="30" xfId="6" applyNumberFormat="1" applyFont="1" applyFill="1" applyBorder="1"/>
    <xf numFmtId="6" fontId="13" fillId="9" borderId="30" xfId="6" applyNumberFormat="1" applyFont="1" applyFill="1" applyBorder="1"/>
    <xf numFmtId="6" fontId="13" fillId="14" borderId="70" xfId="6" applyNumberFormat="1" applyFont="1" applyFill="1" applyBorder="1"/>
    <xf numFmtId="6" fontId="10" fillId="15" borderId="25" xfId="6" applyNumberFormat="1" applyFont="1" applyFill="1" applyBorder="1"/>
    <xf numFmtId="6" fontId="10" fillId="9" borderId="25" xfId="6" applyNumberFormat="1" applyFont="1" applyFill="1" applyBorder="1"/>
    <xf numFmtId="6" fontId="10" fillId="14" borderId="69" xfId="6" applyNumberFormat="1" applyFont="1" applyFill="1" applyBorder="1"/>
    <xf numFmtId="6" fontId="10" fillId="14" borderId="0" xfId="6" applyNumberFormat="1" applyFont="1" applyFill="1"/>
    <xf numFmtId="6" fontId="10" fillId="14" borderId="0" xfId="6" applyNumberFormat="1" applyFont="1" applyFill="1" applyBorder="1"/>
    <xf numFmtId="43" fontId="16" fillId="0" borderId="0" xfId="6" applyNumberFormat="1" applyFont="1" applyFill="1"/>
    <xf numFmtId="43" fontId="16" fillId="0" borderId="9" xfId="6" applyNumberFormat="1" applyFont="1" applyFill="1" applyBorder="1"/>
    <xf numFmtId="43" fontId="17" fillId="0" borderId="0" xfId="6" applyNumberFormat="1" applyFont="1" applyFill="1"/>
    <xf numFmtId="0" fontId="17" fillId="0" borderId="0" xfId="6" applyFont="1" applyFill="1" applyAlignment="1">
      <alignment horizontal="right" indent="2"/>
    </xf>
    <xf numFmtId="0" fontId="4" fillId="0" borderId="0" xfId="26" applyFont="1" applyFill="1"/>
    <xf numFmtId="14" fontId="4" fillId="0" borderId="0" xfId="26" applyNumberFormat="1" applyFont="1" applyFill="1"/>
    <xf numFmtId="0" fontId="30" fillId="0" borderId="0" xfId="26" applyFont="1" applyFill="1"/>
    <xf numFmtId="0" fontId="4" fillId="0" borderId="0" xfId="26" applyFont="1" applyFill="1" applyAlignment="1">
      <alignment horizontal="center"/>
    </xf>
    <xf numFmtId="0" fontId="31" fillId="0" borderId="0" xfId="26" applyFont="1" applyFill="1"/>
    <xf numFmtId="0" fontId="31" fillId="0" borderId="0" xfId="26" applyFont="1" applyFill="1" applyAlignment="1">
      <alignment horizontal="center"/>
    </xf>
    <xf numFmtId="0" fontId="4" fillId="0" borderId="39" xfId="26" applyFont="1" applyFill="1" applyBorder="1" applyAlignment="1">
      <alignment horizontal="center"/>
    </xf>
    <xf numFmtId="0" fontId="4" fillId="0" borderId="35" xfId="26" applyFont="1" applyFill="1" applyBorder="1" applyAlignment="1">
      <alignment horizontal="center"/>
    </xf>
    <xf numFmtId="0" fontId="4" fillId="0" borderId="23" xfId="26" applyFont="1" applyFill="1" applyBorder="1" applyAlignment="1">
      <alignment horizontal="center"/>
    </xf>
    <xf numFmtId="0" fontId="4" fillId="0" borderId="63" xfId="26" applyFont="1" applyFill="1" applyBorder="1" applyAlignment="1">
      <alignment horizontal="center"/>
    </xf>
    <xf numFmtId="0" fontId="4" fillId="0" borderId="7" xfId="26" applyFont="1" applyFill="1" applyBorder="1"/>
    <xf numFmtId="0" fontId="4" fillId="0" borderId="51" xfId="26" applyFont="1" applyFill="1" applyBorder="1" applyAlignment="1">
      <alignment horizontal="center"/>
    </xf>
    <xf numFmtId="0" fontId="4" fillId="0" borderId="51" xfId="26" applyFont="1" applyFill="1" applyBorder="1"/>
    <xf numFmtId="7" fontId="4" fillId="0" borderId="0" xfId="26" applyNumberFormat="1" applyFont="1" applyFill="1" applyBorder="1"/>
    <xf numFmtId="0" fontId="4" fillId="0" borderId="8" xfId="26" applyFont="1" applyFill="1" applyBorder="1"/>
    <xf numFmtId="0" fontId="4" fillId="0" borderId="7" xfId="26" applyFont="1" applyFill="1" applyBorder="1" applyAlignment="1">
      <alignment horizontal="center"/>
    </xf>
    <xf numFmtId="7" fontId="4" fillId="0" borderId="59" xfId="26" applyNumberFormat="1" applyFont="1" applyFill="1" applyBorder="1"/>
    <xf numFmtId="7" fontId="4" fillId="0" borderId="51" xfId="26" applyNumberFormat="1" applyFont="1" applyFill="1" applyBorder="1"/>
    <xf numFmtId="7" fontId="4" fillId="0" borderId="64" xfId="26" applyNumberFormat="1" applyFont="1" applyFill="1" applyBorder="1"/>
    <xf numFmtId="10" fontId="4" fillId="0" borderId="8" xfId="26" applyNumberFormat="1" applyFont="1" applyFill="1" applyBorder="1"/>
    <xf numFmtId="0" fontId="4" fillId="0" borderId="4" xfId="26" applyFont="1" applyFill="1" applyBorder="1" applyAlignment="1">
      <alignment horizontal="center"/>
    </xf>
    <xf numFmtId="0" fontId="4" fillId="0" borderId="53" xfId="26" applyFont="1" applyFill="1" applyBorder="1" applyAlignment="1">
      <alignment horizontal="center"/>
    </xf>
    <xf numFmtId="7" fontId="4" fillId="0" borderId="53" xfId="26" applyNumberFormat="1" applyFont="1" applyFill="1" applyBorder="1"/>
    <xf numFmtId="10" fontId="4" fillId="0" borderId="5" xfId="26" applyNumberFormat="1" applyFont="1" applyFill="1" applyBorder="1"/>
    <xf numFmtId="7" fontId="4" fillId="0" borderId="0" xfId="26" applyNumberFormat="1" applyFont="1" applyFill="1"/>
    <xf numFmtId="0" fontId="4" fillId="0" borderId="65" xfId="26" applyFont="1" applyFill="1" applyBorder="1"/>
    <xf numFmtId="0" fontId="4" fillId="0" borderId="64" xfId="26" applyFont="1" applyFill="1" applyBorder="1" applyAlignment="1">
      <alignment horizontal="center"/>
    </xf>
    <xf numFmtId="0" fontId="4" fillId="0" borderId="66" xfId="26" applyFont="1" applyFill="1" applyBorder="1" applyAlignment="1">
      <alignment horizontal="center"/>
    </xf>
    <xf numFmtId="0" fontId="4" fillId="0" borderId="66" xfId="26" applyFont="1" applyFill="1" applyBorder="1"/>
    <xf numFmtId="0" fontId="4" fillId="0" borderId="67" xfId="26" applyFont="1" applyFill="1" applyBorder="1"/>
    <xf numFmtId="0" fontId="4" fillId="0" borderId="68" xfId="26" applyFont="1" applyFill="1" applyBorder="1" applyAlignment="1">
      <alignment horizontal="center"/>
    </xf>
    <xf numFmtId="5" fontId="13" fillId="6" borderId="9" xfId="6" applyNumberFormat="1" applyFont="1" applyFill="1" applyBorder="1"/>
    <xf numFmtId="5" fontId="13" fillId="6" borderId="9" xfId="6" applyNumberFormat="1" applyFont="1" applyFill="1" applyBorder="1"/>
    <xf numFmtId="0" fontId="14" fillId="2" borderId="0" xfId="6" applyFont="1" applyFill="1" applyBorder="1" applyAlignment="1"/>
    <xf numFmtId="0" fontId="16" fillId="2" borderId="59" xfId="6" applyFont="1" applyFill="1" applyBorder="1"/>
    <xf numFmtId="0" fontId="17" fillId="2" borderId="59" xfId="6" applyFont="1" applyFill="1" applyBorder="1"/>
    <xf numFmtId="0" fontId="16" fillId="2" borderId="36" xfId="6" applyFont="1" applyFill="1" applyBorder="1"/>
    <xf numFmtId="0" fontId="16" fillId="2" borderId="32" xfId="6" applyFont="1" applyFill="1" applyBorder="1"/>
    <xf numFmtId="0" fontId="16" fillId="0" borderId="32" xfId="6" applyFont="1" applyFill="1" applyBorder="1"/>
    <xf numFmtId="0" fontId="17" fillId="2" borderId="11" xfId="6" applyFont="1" applyFill="1" applyBorder="1"/>
    <xf numFmtId="0" fontId="17" fillId="2" borderId="16" xfId="6" applyFont="1" applyFill="1" applyBorder="1"/>
    <xf numFmtId="0" fontId="16" fillId="2" borderId="16" xfId="6" applyFont="1" applyFill="1" applyBorder="1" applyAlignment="1">
      <alignment horizontal="center"/>
    </xf>
    <xf numFmtId="0" fontId="17" fillId="2" borderId="16" xfId="6" applyFont="1" applyFill="1" applyBorder="1" applyAlignment="1">
      <alignment horizontal="center"/>
    </xf>
    <xf numFmtId="0" fontId="17" fillId="7" borderId="71" xfId="6" applyFont="1" applyFill="1" applyBorder="1" applyAlignment="1">
      <alignment horizontal="center"/>
    </xf>
    <xf numFmtId="0" fontId="17" fillId="7" borderId="72" xfId="6" applyFont="1" applyFill="1" applyBorder="1" applyAlignment="1">
      <alignment horizontal="center"/>
    </xf>
    <xf numFmtId="0" fontId="18" fillId="2" borderId="0" xfId="6" applyFont="1" applyFill="1" applyBorder="1" applyAlignment="1">
      <alignment horizontal="center"/>
    </xf>
    <xf numFmtId="43" fontId="16" fillId="7" borderId="73" xfId="19" applyFont="1" applyFill="1" applyBorder="1"/>
    <xf numFmtId="43" fontId="16" fillId="7" borderId="74" xfId="19" applyFont="1" applyFill="1" applyBorder="1"/>
    <xf numFmtId="0" fontId="17" fillId="2" borderId="32" xfId="6" applyFont="1" applyFill="1" applyBorder="1"/>
    <xf numFmtId="0" fontId="17" fillId="2" borderId="10" xfId="6" applyFont="1" applyFill="1" applyBorder="1"/>
    <xf numFmtId="43" fontId="17" fillId="2" borderId="10" xfId="19" applyFont="1" applyFill="1" applyBorder="1"/>
    <xf numFmtId="43" fontId="17" fillId="7" borderId="74" xfId="19" applyFont="1" applyFill="1" applyBorder="1"/>
    <xf numFmtId="0" fontId="17" fillId="7" borderId="75" xfId="6" applyFont="1" applyFill="1" applyBorder="1" applyAlignment="1">
      <alignment horizontal="center"/>
    </xf>
    <xf numFmtId="0" fontId="17" fillId="8" borderId="75" xfId="6" applyFont="1" applyFill="1" applyBorder="1" applyAlignment="1">
      <alignment horizontal="center"/>
    </xf>
    <xf numFmtId="0" fontId="17" fillId="0" borderId="75" xfId="6" applyFont="1" applyFill="1" applyBorder="1" applyAlignment="1">
      <alignment horizontal="center"/>
    </xf>
    <xf numFmtId="0" fontId="17" fillId="0" borderId="16" xfId="6" applyFont="1" applyFill="1" applyBorder="1" applyAlignment="1">
      <alignment horizontal="center"/>
    </xf>
    <xf numFmtId="0" fontId="17" fillId="6" borderId="19" xfId="6" applyFont="1" applyFill="1" applyBorder="1" applyAlignment="1">
      <alignment horizontal="center"/>
    </xf>
    <xf numFmtId="0" fontId="17" fillId="6" borderId="64" xfId="6" applyFont="1" applyFill="1" applyBorder="1" applyAlignment="1">
      <alignment horizontal="center"/>
    </xf>
    <xf numFmtId="43" fontId="16" fillId="6" borderId="34" xfId="19" applyFont="1" applyFill="1" applyBorder="1"/>
    <xf numFmtId="43" fontId="16" fillId="6" borderId="33" xfId="19" applyFont="1" applyFill="1" applyBorder="1"/>
    <xf numFmtId="43" fontId="17" fillId="7" borderId="27" xfId="19" applyFont="1" applyFill="1" applyBorder="1"/>
    <xf numFmtId="43" fontId="17" fillId="8" borderId="27" xfId="19" applyFont="1" applyFill="1" applyBorder="1"/>
    <xf numFmtId="43" fontId="17" fillId="0" borderId="27" xfId="19" applyFont="1" applyFill="1" applyBorder="1"/>
    <xf numFmtId="43" fontId="17" fillId="0" borderId="10" xfId="19" applyFont="1" applyFill="1" applyBorder="1"/>
    <xf numFmtId="43" fontId="17" fillId="6" borderId="33" xfId="19" applyFont="1" applyFill="1" applyBorder="1"/>
    <xf numFmtId="0" fontId="3" fillId="0" borderId="0" xfId="26" applyFont="1" applyFill="1" applyAlignment="1">
      <alignment horizontal="center"/>
    </xf>
    <xf numFmtId="0" fontId="31" fillId="0" borderId="0" xfId="26" applyFont="1" applyFill="1" applyAlignment="1">
      <alignment horizontal="center"/>
    </xf>
    <xf numFmtId="0" fontId="13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32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0" fillId="0" borderId="33" xfId="4" applyFont="1" applyBorder="1" applyAlignment="1">
      <alignment horizontal="center" vertical="center"/>
    </xf>
    <xf numFmtId="0" fontId="10" fillId="0" borderId="34" xfId="4" applyFont="1" applyBorder="1" applyAlignment="1">
      <alignment horizontal="center" vertical="center"/>
    </xf>
    <xf numFmtId="0" fontId="10" fillId="0" borderId="35" xfId="4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0" fontId="10" fillId="0" borderId="37" xfId="4" applyFont="1" applyBorder="1" applyAlignment="1">
      <alignment horizontal="center" vertical="center"/>
    </xf>
    <xf numFmtId="0" fontId="10" fillId="0" borderId="38" xfId="4" applyFont="1" applyBorder="1" applyAlignment="1">
      <alignment horizontal="center" vertical="center"/>
    </xf>
    <xf numFmtId="0" fontId="10" fillId="0" borderId="39" xfId="4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wrapText="1"/>
    </xf>
    <xf numFmtId="0" fontId="8" fillId="0" borderId="0" xfId="20" applyFont="1" applyAlignment="1">
      <alignment horizontal="center"/>
    </xf>
    <xf numFmtId="0" fontId="9" fillId="0" borderId="9" xfId="20" applyFont="1" applyBorder="1" applyAlignment="1">
      <alignment horizontal="center"/>
    </xf>
    <xf numFmtId="0" fontId="12" fillId="0" borderId="11" xfId="5" applyFont="1" applyFill="1" applyBorder="1" applyAlignment="1">
      <alignment horizontal="left"/>
    </xf>
    <xf numFmtId="0" fontId="12" fillId="0" borderId="16" xfId="5" applyFont="1" applyFill="1" applyBorder="1" applyAlignment="1">
      <alignment horizontal="left"/>
    </xf>
    <xf numFmtId="0" fontId="11" fillId="0" borderId="0" xfId="2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center"/>
    </xf>
  </cellXfs>
  <cellStyles count="30">
    <cellStyle name="Comma" xfId="19" builtinId="3"/>
    <cellStyle name="Comma 2" xfId="1"/>
    <cellStyle name="Comma 2 2" xfId="21"/>
    <cellStyle name="Comma 2 3" xfId="22"/>
    <cellStyle name="Comma 3" xfId="2"/>
    <cellStyle name="Comma 3 2" xfId="23"/>
    <cellStyle name="Comma 4" xfId="15"/>
    <cellStyle name="Comma 5" xfId="27"/>
    <cellStyle name="Currency 2" xfId="3"/>
    <cellStyle name="Normal" xfId="0" builtinId="0"/>
    <cellStyle name="Normal 10" xfId="18"/>
    <cellStyle name="Normal 11" xfId="4"/>
    <cellStyle name="Normal 12" xfId="25"/>
    <cellStyle name="Normal 13" xfId="26"/>
    <cellStyle name="Normal 2" xfId="5"/>
    <cellStyle name="Normal 2 2" xfId="6"/>
    <cellStyle name="Normal 2 3" xfId="20"/>
    <cellStyle name="Normal 3" xfId="7"/>
    <cellStyle name="Normal 3 2" xfId="29"/>
    <cellStyle name="Normal 4" xfId="8"/>
    <cellStyle name="Normal 5" xfId="9"/>
    <cellStyle name="Normal 6" xfId="10"/>
    <cellStyle name="Normal 7" xfId="11"/>
    <cellStyle name="Normal 8" xfId="12"/>
    <cellStyle name="Normal 9" xfId="13"/>
    <cellStyle name="Normal_2008 OAA award with additional tabs" xfId="14"/>
    <cellStyle name="Normal_Sheet1" xfId="24"/>
    <cellStyle name="Normal_Sheet2" xfId="16"/>
    <cellStyle name="Percent" xfId="28" builtinId="5"/>
    <cellStyle name="Percent 2" xfId="17"/>
  </cellStyles>
  <dxfs count="19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33" formatCode="_(* #,##0_);_(* \(#,##0\);_(* &quot;-&quot;_);_(@_)"/>
    </dxf>
    <dxf>
      <numFmt numFmtId="33" formatCode="_(* #,##0_);_(* \(#,##0\);_(* &quot;-&quot;_);_(@_)"/>
    </dxf>
    <dxf>
      <font>
        <sz val="11"/>
      </font>
    </dxf>
    <dxf>
      <font>
        <name val="Calibri"/>
        <scheme val="minor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font>
        <sz val="11"/>
      </font>
    </dxf>
    <dxf>
      <font>
        <name val="Calibri"/>
        <scheme val="minor"/>
      </font>
    </dxf>
    <dxf>
      <numFmt numFmtId="33" formatCode="_(* #,##0_);_(* \(#,##0\);_(* &quot;-&quot;_);_(@_)"/>
    </dxf>
    <dxf>
      <font>
        <sz val="10"/>
      </font>
    </dxf>
    <dxf>
      <font>
        <name val="Arial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Downloads\2012%20OAA%20CLOSE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questrian/OAA%20Allocation%202012-2013%20-%20projection%20with%20Sequestri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IEF\OAA%20Funding%20Allocation\2011-2012\OAA%20III%20D%20Allocation%202011-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IEF\AOB%20SFY%2003-04\OAA2003SvcsAdmAllocaMarch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ADMIN"/>
      <sheetName val="III B"/>
      <sheetName val="III C1"/>
      <sheetName val="III C2 "/>
      <sheetName val="III E"/>
      <sheetName val="2012 CARRYFORWARD"/>
      <sheetName val="RECONC"/>
    </sheetNames>
    <sheetDataSet>
      <sheetData sheetId="0" refreshError="1"/>
      <sheetData sheetId="1">
        <row r="8">
          <cell r="C8">
            <v>347024</v>
          </cell>
          <cell r="D8">
            <v>14535</v>
          </cell>
        </row>
        <row r="9">
          <cell r="E9">
            <v>36847.120000000003</v>
          </cell>
        </row>
        <row r="11">
          <cell r="C11">
            <v>465279</v>
          </cell>
          <cell r="D11">
            <v>19488</v>
          </cell>
        </row>
        <row r="12">
          <cell r="E12">
            <v>22271.279999999999</v>
          </cell>
        </row>
        <row r="14">
          <cell r="C14">
            <v>920297.64</v>
          </cell>
          <cell r="D14">
            <v>38545</v>
          </cell>
        </row>
        <row r="15">
          <cell r="E15">
            <v>131081.60999999999</v>
          </cell>
        </row>
        <row r="17">
          <cell r="C17">
            <v>742810.62</v>
          </cell>
          <cell r="D17">
            <v>31112</v>
          </cell>
        </row>
        <row r="18">
          <cell r="E18">
            <v>83808.97</v>
          </cell>
        </row>
        <row r="20">
          <cell r="C20">
            <v>675213.33</v>
          </cell>
          <cell r="D20">
            <v>28280</v>
          </cell>
        </row>
        <row r="21">
          <cell r="E21">
            <v>159270.45000000001</v>
          </cell>
        </row>
        <row r="23">
          <cell r="C23">
            <v>881003.47</v>
          </cell>
          <cell r="D23">
            <v>36900</v>
          </cell>
        </row>
        <row r="24">
          <cell r="E24">
            <v>121598.58</v>
          </cell>
        </row>
        <row r="26">
          <cell r="C26">
            <v>685216.82</v>
          </cell>
          <cell r="D26">
            <v>28699</v>
          </cell>
        </row>
        <row r="27">
          <cell r="E27">
            <v>190042.53</v>
          </cell>
        </row>
        <row r="30">
          <cell r="C30">
            <v>775269.02</v>
          </cell>
          <cell r="D30">
            <v>32471</v>
          </cell>
        </row>
        <row r="31">
          <cell r="E31">
            <v>0</v>
          </cell>
        </row>
        <row r="33">
          <cell r="C33">
            <v>834944.64</v>
          </cell>
          <cell r="D33">
            <v>34971</v>
          </cell>
        </row>
        <row r="34">
          <cell r="E34">
            <v>0</v>
          </cell>
        </row>
        <row r="36">
          <cell r="C36">
            <v>669733.18000000005</v>
          </cell>
          <cell r="D36">
            <v>28051</v>
          </cell>
        </row>
        <row r="37">
          <cell r="E37">
            <v>94577.27</v>
          </cell>
        </row>
        <row r="39">
          <cell r="C39">
            <v>1288015.77</v>
          </cell>
          <cell r="D39">
            <v>53947</v>
          </cell>
        </row>
        <row r="40">
          <cell r="E40">
            <v>0</v>
          </cell>
        </row>
        <row r="42">
          <cell r="C42">
            <v>8284807.4900000002</v>
          </cell>
          <cell r="D42">
            <v>346999</v>
          </cell>
        </row>
        <row r="43">
          <cell r="E43">
            <v>839497.81</v>
          </cell>
        </row>
      </sheetData>
      <sheetData sheetId="2">
        <row r="8">
          <cell r="C8">
            <v>806601</v>
          </cell>
        </row>
        <row r="9">
          <cell r="D9">
            <v>54358.59</v>
          </cell>
        </row>
        <row r="11">
          <cell r="C11">
            <v>832892</v>
          </cell>
        </row>
        <row r="12">
          <cell r="D12">
            <v>0</v>
          </cell>
        </row>
        <row r="14">
          <cell r="C14">
            <v>2667177</v>
          </cell>
        </row>
        <row r="15">
          <cell r="D15">
            <v>225539.94</v>
          </cell>
        </row>
        <row r="17">
          <cell r="C17">
            <v>2749716</v>
          </cell>
        </row>
        <row r="18">
          <cell r="D18">
            <v>16255.35</v>
          </cell>
        </row>
        <row r="20">
          <cell r="C20">
            <v>2816987</v>
          </cell>
        </row>
        <row r="21">
          <cell r="D21">
            <v>15970.96</v>
          </cell>
        </row>
        <row r="23">
          <cell r="C23">
            <v>2688208</v>
          </cell>
        </row>
        <row r="24">
          <cell r="D24">
            <v>163369.10999999999</v>
          </cell>
        </row>
        <row r="26">
          <cell r="C26">
            <v>2445766</v>
          </cell>
        </row>
        <row r="27">
          <cell r="D27">
            <v>52849.47</v>
          </cell>
        </row>
        <row r="29">
          <cell r="C29">
            <v>2819362</v>
          </cell>
        </row>
        <row r="30">
          <cell r="D30">
            <v>0</v>
          </cell>
        </row>
        <row r="32">
          <cell r="C32">
            <v>3419038.79</v>
          </cell>
        </row>
        <row r="33">
          <cell r="D33">
            <v>0</v>
          </cell>
        </row>
        <row r="35">
          <cell r="C35">
            <v>2883698</v>
          </cell>
        </row>
        <row r="36">
          <cell r="D36">
            <v>360267.33</v>
          </cell>
        </row>
        <row r="39">
          <cell r="C39">
            <v>4847830</v>
          </cell>
        </row>
        <row r="40">
          <cell r="D40">
            <v>114864.05</v>
          </cell>
        </row>
        <row r="42">
          <cell r="C42">
            <v>28977275.789999999</v>
          </cell>
        </row>
        <row r="43">
          <cell r="D43">
            <v>1003474.8</v>
          </cell>
        </row>
      </sheetData>
      <sheetData sheetId="3">
        <row r="8">
          <cell r="C8">
            <v>796201</v>
          </cell>
        </row>
        <row r="9">
          <cell r="D9">
            <v>13172.22</v>
          </cell>
        </row>
        <row r="11">
          <cell r="C11">
            <v>610018</v>
          </cell>
        </row>
        <row r="12">
          <cell r="D12">
            <v>0</v>
          </cell>
        </row>
        <row r="14">
          <cell r="C14">
            <v>1870004</v>
          </cell>
        </row>
        <row r="15">
          <cell r="D15">
            <v>4969.3999999999996</v>
          </cell>
        </row>
        <row r="17">
          <cell r="C17">
            <v>1505594</v>
          </cell>
        </row>
        <row r="18">
          <cell r="D18">
            <v>5537.97</v>
          </cell>
        </row>
        <row r="20">
          <cell r="C20">
            <v>1007854</v>
          </cell>
        </row>
        <row r="21">
          <cell r="D21">
            <v>0</v>
          </cell>
        </row>
        <row r="23">
          <cell r="C23">
            <v>1756724</v>
          </cell>
        </row>
        <row r="24">
          <cell r="D24">
            <v>10289.67</v>
          </cell>
        </row>
        <row r="26">
          <cell r="C26">
            <v>1252868</v>
          </cell>
        </row>
        <row r="27">
          <cell r="D27">
            <v>0</v>
          </cell>
        </row>
        <row r="29">
          <cell r="C29">
            <v>1400198</v>
          </cell>
        </row>
        <row r="30">
          <cell r="D30">
            <v>0</v>
          </cell>
        </row>
        <row r="32">
          <cell r="C32">
            <v>1311723.72</v>
          </cell>
        </row>
        <row r="33">
          <cell r="D33">
            <v>9562.18</v>
          </cell>
        </row>
        <row r="35">
          <cell r="C35">
            <v>998261</v>
          </cell>
        </row>
        <row r="36">
          <cell r="D36">
            <v>292653.69</v>
          </cell>
        </row>
        <row r="39">
          <cell r="C39">
            <v>4390855.16</v>
          </cell>
        </row>
        <row r="40">
          <cell r="D40">
            <v>7641.12</v>
          </cell>
        </row>
        <row r="42">
          <cell r="C42">
            <v>16900300.880000003</v>
          </cell>
        </row>
        <row r="43">
          <cell r="D43">
            <v>343826.25</v>
          </cell>
        </row>
      </sheetData>
      <sheetData sheetId="4">
        <row r="8">
          <cell r="C8">
            <v>443199</v>
          </cell>
        </row>
        <row r="9">
          <cell r="D9">
            <v>11734.66</v>
          </cell>
        </row>
        <row r="11">
          <cell r="C11">
            <v>915193</v>
          </cell>
        </row>
        <row r="12">
          <cell r="D12">
            <v>0</v>
          </cell>
        </row>
        <row r="14">
          <cell r="C14">
            <v>1759972</v>
          </cell>
        </row>
        <row r="15">
          <cell r="D15">
            <v>1992.69</v>
          </cell>
        </row>
        <row r="17">
          <cell r="C17">
            <v>1338935</v>
          </cell>
        </row>
        <row r="18">
          <cell r="D18">
            <v>3428.6</v>
          </cell>
        </row>
        <row r="20">
          <cell r="C20">
            <v>1319279</v>
          </cell>
        </row>
        <row r="21">
          <cell r="D21">
            <v>0</v>
          </cell>
        </row>
        <row r="23">
          <cell r="C23">
            <v>2743701</v>
          </cell>
        </row>
        <row r="24">
          <cell r="D24">
            <v>0</v>
          </cell>
        </row>
        <row r="26">
          <cell r="C26">
            <v>1724840</v>
          </cell>
        </row>
        <row r="27">
          <cell r="D27">
            <v>0</v>
          </cell>
        </row>
        <row r="29">
          <cell r="C29">
            <v>1306527</v>
          </cell>
        </row>
        <row r="30">
          <cell r="D30">
            <v>71230.570000000007</v>
          </cell>
        </row>
        <row r="32">
          <cell r="C32">
            <v>1861431.49</v>
          </cell>
        </row>
        <row r="33">
          <cell r="D33">
            <v>10544.51</v>
          </cell>
        </row>
        <row r="35">
          <cell r="C35">
            <v>1574374</v>
          </cell>
        </row>
        <row r="36">
          <cell r="D36">
            <v>313660.61</v>
          </cell>
        </row>
        <row r="39">
          <cell r="C39">
            <v>3407610.84</v>
          </cell>
        </row>
        <row r="40">
          <cell r="D40">
            <v>2434.7600000000002</v>
          </cell>
        </row>
        <row r="42">
          <cell r="C42">
            <v>18395062.329999998</v>
          </cell>
        </row>
        <row r="43">
          <cell r="D43">
            <v>415026.4</v>
          </cell>
        </row>
      </sheetData>
      <sheetData sheetId="5">
        <row r="8">
          <cell r="C8">
            <v>295894</v>
          </cell>
        </row>
        <row r="9">
          <cell r="D9">
            <v>36075.339999999997</v>
          </cell>
        </row>
        <row r="11">
          <cell r="C11">
            <v>341150</v>
          </cell>
        </row>
        <row r="12">
          <cell r="D12">
            <v>42402.68</v>
          </cell>
        </row>
        <row r="14">
          <cell r="C14">
            <v>905643</v>
          </cell>
        </row>
        <row r="15">
          <cell r="D15">
            <v>56037.67</v>
          </cell>
        </row>
        <row r="17">
          <cell r="C17">
            <v>804909</v>
          </cell>
        </row>
        <row r="18">
          <cell r="D18">
            <v>16663.55</v>
          </cell>
        </row>
        <row r="20">
          <cell r="C20">
            <v>742062</v>
          </cell>
        </row>
        <row r="21">
          <cell r="D21">
            <v>19713.93</v>
          </cell>
        </row>
        <row r="23">
          <cell r="C23">
            <v>1035116</v>
          </cell>
        </row>
        <row r="24">
          <cell r="D24">
            <v>56173.3</v>
          </cell>
        </row>
        <row r="26">
          <cell r="C26">
            <v>772765</v>
          </cell>
        </row>
        <row r="27">
          <cell r="D27">
            <v>6184.73</v>
          </cell>
        </row>
        <row r="29">
          <cell r="C29">
            <v>790214</v>
          </cell>
        </row>
        <row r="30">
          <cell r="D30">
            <v>0</v>
          </cell>
        </row>
        <row r="32">
          <cell r="C32">
            <v>945802</v>
          </cell>
        </row>
        <row r="33">
          <cell r="D33">
            <v>0</v>
          </cell>
        </row>
        <row r="35">
          <cell r="C35">
            <v>782143</v>
          </cell>
        </row>
        <row r="36">
          <cell r="D36">
            <v>78349.03</v>
          </cell>
        </row>
        <row r="38">
          <cell r="C38">
            <v>1809634</v>
          </cell>
        </row>
        <row r="39">
          <cell r="D39">
            <v>80620.02</v>
          </cell>
        </row>
        <row r="41">
          <cell r="C41">
            <v>9225332</v>
          </cell>
        </row>
        <row r="42">
          <cell r="D42">
            <v>392220.25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of Changes"/>
      <sheetName val="State Admin"/>
      <sheetName val="ffy11 ff12  ffy13 comparison"/>
      <sheetName val="2013 Award Sequestrian"/>
      <sheetName val="2013 Svcs &amp; Admin Allocation"/>
      <sheetName val="2013 Admin Formula "/>
      <sheetName val="2013 Title III-D Allocation"/>
      <sheetName val="Pivot - Demographics"/>
      <sheetName val="Demographics"/>
      <sheetName val="2003 Admin"/>
      <sheetName val="2003 Base Factors"/>
      <sheetName val="2003 Demographic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Grant Award: 2013 Older Americans Act Allocation</v>
          </cell>
        </row>
      </sheetData>
      <sheetData sheetId="4"/>
      <sheetData sheetId="5"/>
      <sheetData sheetId="6" refreshError="1"/>
      <sheetData sheetId="7">
        <row r="4">
          <cell r="A4" t="str">
            <v>PSA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2 Title III-D Carryover"/>
      <sheetName val="2012 Title III-D Allocation"/>
      <sheetName val="Pivot"/>
      <sheetName val="PY Allocation"/>
      <sheetName val="FPL &amp; MU"/>
      <sheetName val="MUPs &amp; MUAs"/>
    </sheetNames>
    <sheetDataSet>
      <sheetData sheetId="0"/>
      <sheetData sheetId="1">
        <row r="4">
          <cell r="A4" t="str">
            <v>Row Labels</v>
          </cell>
        </row>
      </sheetData>
      <sheetData sheetId="2">
        <row r="3">
          <cell r="Z3">
            <v>89601</v>
          </cell>
        </row>
        <row r="4">
          <cell r="A4" t="str">
            <v>Row Labels</v>
          </cell>
          <cell r="B4" t="str">
            <v>Sum of People Age 65 &amp; Over Living in Medically Underserved Areas &amp; Populations</v>
          </cell>
          <cell r="C4" t="str">
            <v>Sum of Population 60+ Below Federal Poverty Level (FPL)</v>
          </cell>
        </row>
        <row r="5">
          <cell r="A5">
            <v>1</v>
          </cell>
          <cell r="B5">
            <v>23109</v>
          </cell>
          <cell r="C5">
            <v>11800.774328722573</v>
          </cell>
        </row>
        <row r="6">
          <cell r="A6">
            <v>2</v>
          </cell>
          <cell r="B6">
            <v>52818</v>
          </cell>
          <cell r="C6">
            <v>15506.477577221689</v>
          </cell>
        </row>
        <row r="7">
          <cell r="A7">
            <v>3</v>
          </cell>
          <cell r="B7">
            <v>152180</v>
          </cell>
          <cell r="C7">
            <v>43886.529411486285</v>
          </cell>
        </row>
        <row r="8">
          <cell r="A8">
            <v>4</v>
          </cell>
          <cell r="B8">
            <v>75651</v>
          </cell>
          <cell r="C8">
            <v>36632.577378396309</v>
          </cell>
        </row>
        <row r="9">
          <cell r="A9">
            <v>5</v>
          </cell>
          <cell r="B9">
            <v>52034</v>
          </cell>
          <cell r="C9">
            <v>35654.507464791415</v>
          </cell>
        </row>
        <row r="10">
          <cell r="A10">
            <v>6</v>
          </cell>
          <cell r="B10">
            <v>98618</v>
          </cell>
          <cell r="C10">
            <v>47062.718467119645</v>
          </cell>
        </row>
        <row r="11">
          <cell r="A11">
            <v>7</v>
          </cell>
          <cell r="B11">
            <v>84908</v>
          </cell>
          <cell r="C11">
            <v>38378.807809259844</v>
          </cell>
        </row>
        <row r="12">
          <cell r="A12">
            <v>8</v>
          </cell>
          <cell r="B12">
            <v>91660</v>
          </cell>
          <cell r="C12">
            <v>37731.422729363127</v>
          </cell>
        </row>
        <row r="13">
          <cell r="A13">
            <v>9</v>
          </cell>
          <cell r="B13">
            <v>54673</v>
          </cell>
          <cell r="C13">
            <v>43688.370289329119</v>
          </cell>
        </row>
        <row r="14">
          <cell r="A14">
            <v>10</v>
          </cell>
          <cell r="B14">
            <v>28019</v>
          </cell>
          <cell r="C14">
            <v>41023.816964186604</v>
          </cell>
        </row>
        <row r="15">
          <cell r="A15">
            <v>11</v>
          </cell>
          <cell r="B15">
            <v>126846</v>
          </cell>
          <cell r="C15">
            <v>101155.74061500485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3 OAA "/>
      <sheetName val="Admin"/>
    </sheetNames>
    <sheetDataSet>
      <sheetData sheetId="0">
        <row r="17">
          <cell r="W17">
            <v>6304430</v>
          </cell>
        </row>
        <row r="19">
          <cell r="W19">
            <v>5605980</v>
          </cell>
        </row>
        <row r="21">
          <cell r="W21">
            <v>5183248</v>
          </cell>
        </row>
        <row r="23">
          <cell r="W23">
            <v>7215591</v>
          </cell>
        </row>
        <row r="25">
          <cell r="W25">
            <v>5322971</v>
          </cell>
        </row>
        <row r="27">
          <cell r="W27">
            <v>5465452</v>
          </cell>
        </row>
        <row r="29">
          <cell r="W29">
            <v>6566221</v>
          </cell>
        </row>
        <row r="31">
          <cell r="W31">
            <v>5424604</v>
          </cell>
        </row>
        <row r="33">
          <cell r="W33">
            <v>12526014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n Manalo" refreshedDate="41262.628369328704" createdVersion="3" refreshedVersion="3" minRefreshableVersion="3" recordCount="67">
  <cacheSource type="worksheet">
    <worksheetSource ref="A3:F70" sheet="Demographics"/>
  </cacheSource>
  <cacheFields count="6">
    <cacheField name="PSA" numFmtId="0">
      <sharedItems containsSemiMixedTypes="0" containsString="0" containsNumber="1" containsInteger="1" minValue="1" maxValue="11" count="11">
        <n v="1"/>
        <n v="2"/>
        <n v="3"/>
        <n v="4"/>
        <n v="5"/>
        <n v="6"/>
        <n v="7"/>
        <n v="8"/>
        <n v="9"/>
        <n v="10"/>
        <n v="11"/>
      </sharedItems>
    </cacheField>
    <cacheField name="County" numFmtId="0">
      <sharedItems/>
    </cacheField>
    <cacheField name="Population 60+" numFmtId="165">
      <sharedItems containsSemiMixedTypes="0" containsString="0" containsNumber="1" containsInteger="1" minValue="1408" maxValue="506819"/>
    </cacheField>
    <cacheField name="Population 60+ Below Federal Poverty Level (FPL)" numFmtId="165">
      <sharedItems containsSemiMixedTypes="0" containsString="0" containsNumber="1" containsInteger="1" minValue="234" maxValue="102199"/>
    </cacheField>
    <cacheField name="Minority Population 60+ Below 125% FPL" numFmtId="165">
      <sharedItems containsSemiMixedTypes="0" containsString="0" containsNumber="1" containsInteger="1" minValue="0" maxValue="128042"/>
    </cacheField>
    <cacheField name="Population 65+ With 2 or More Disabilities" numFmtId="165">
      <sharedItems containsSemiMixedTypes="0" containsString="0" containsNumber="1" containsInteger="1" minValue="0" maxValue="86348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n Manalo" refreshedDate="41355.43539259259" createdVersion="3" refreshedVersion="3" minRefreshableVersion="3" recordCount="67">
  <cacheSource type="worksheet">
    <worksheetSource ref="A1:F68" sheet="2003 Demographics"/>
  </cacheSource>
  <cacheFields count="6">
    <cacheField name="PSA" numFmtId="0">
      <sharedItems containsSemiMixedTypes="0" containsString="0" containsNumber="1" containsInteger="1" minValue="1" maxValue="11" count="11">
        <n v="1"/>
        <n v="2"/>
        <n v="3"/>
        <n v="4"/>
        <n v="5"/>
        <n v="6"/>
        <n v="7"/>
        <n v="8"/>
        <n v="9"/>
        <n v="10"/>
        <n v="11"/>
      </sharedItems>
    </cacheField>
    <cacheField name="County" numFmtId="0">
      <sharedItems/>
    </cacheField>
    <cacheField name="60+" numFmtId="3">
      <sharedItems containsSemiMixedTypes="0" containsString="0" containsNumber="1" containsInteger="1" minValue="1047" maxValue="413568"/>
    </cacheField>
    <cacheField name="Low Income 60+" numFmtId="3">
      <sharedItems containsSemiMixedTypes="0" containsString="0" containsNumber="1" containsInteger="1" minValue="221" maxValue="86645"/>
    </cacheField>
    <cacheField name="Minority 60+ 125% PL" numFmtId="3">
      <sharedItems containsSemiMixedTypes="0" containsString="0" containsNumber="1" containsInteger="1" minValue="27" maxValue="94007"/>
    </cacheField>
    <cacheField name="Mobility &amp; Self Care Limitations 60+" numFmtId="3">
      <sharedItems containsSemiMixedTypes="0" containsString="0" containsNumber="1" containsInteger="1" minValue="68" maxValue="3054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x v="0"/>
    <s v="Escambia"/>
    <n v="64498"/>
    <n v="6038"/>
    <n v="4264"/>
    <n v="10914"/>
  </r>
  <r>
    <x v="0"/>
    <s v="Okaloosa"/>
    <n v="37782"/>
    <n v="2452"/>
    <n v="897"/>
    <n v="5551"/>
  </r>
  <r>
    <x v="0"/>
    <s v="Santa Rosa"/>
    <n v="30977"/>
    <n v="2304"/>
    <n v="401"/>
    <n v="4160"/>
  </r>
  <r>
    <x v="0"/>
    <s v="Walton"/>
    <n v="13580"/>
    <n v="1232"/>
    <n v="365"/>
    <n v="1938"/>
  </r>
  <r>
    <x v="1"/>
    <s v="Bay"/>
    <n v="36674"/>
    <n v="3216"/>
    <n v="967"/>
    <n v="5722"/>
  </r>
  <r>
    <x v="1"/>
    <s v="Calhoun"/>
    <n v="3264"/>
    <n v="332"/>
    <n v="112"/>
    <n v="0"/>
  </r>
  <r>
    <x v="1"/>
    <s v="Franklin"/>
    <n v="2985"/>
    <n v="391"/>
    <n v="32"/>
    <n v="0"/>
  </r>
  <r>
    <x v="1"/>
    <s v="Gadsden"/>
    <n v="10176"/>
    <n v="1402"/>
    <n v="1654"/>
    <n v="1451"/>
  </r>
  <r>
    <x v="1"/>
    <s v="Gulf"/>
    <n v="3839"/>
    <n v="435"/>
    <n v="120"/>
    <n v="0"/>
  </r>
  <r>
    <x v="1"/>
    <s v="Holmes"/>
    <n v="4944"/>
    <n v="776"/>
    <n v="109"/>
    <n v="0"/>
  </r>
  <r>
    <x v="1"/>
    <s v="Jackson"/>
    <n v="11490"/>
    <n v="2619"/>
    <n v="980"/>
    <n v="2292"/>
  </r>
  <r>
    <x v="1"/>
    <s v="Jefferson"/>
    <n v="3835"/>
    <n v="758"/>
    <n v="418"/>
    <n v="0"/>
  </r>
  <r>
    <x v="1"/>
    <s v="Leon"/>
    <n v="44063"/>
    <n v="2922"/>
    <n v="2268"/>
    <n v="5581"/>
  </r>
  <r>
    <x v="1"/>
    <s v="Liberty"/>
    <n v="1408"/>
    <n v="301"/>
    <n v="112"/>
    <n v="0"/>
  </r>
  <r>
    <x v="1"/>
    <s v="Madison"/>
    <n v="4588"/>
    <n v="769"/>
    <n v="528"/>
    <n v="0"/>
  </r>
  <r>
    <x v="1"/>
    <s v="Taylor"/>
    <n v="5399"/>
    <n v="841"/>
    <n v="480"/>
    <n v="1401"/>
  </r>
  <r>
    <x v="1"/>
    <s v="Wakulla"/>
    <n v="5632"/>
    <n v="583"/>
    <n v="173"/>
    <n v="1103"/>
  </r>
  <r>
    <x v="1"/>
    <s v="Washington"/>
    <n v="5550"/>
    <n v="544"/>
    <n v="102"/>
    <n v="858"/>
  </r>
  <r>
    <x v="2"/>
    <s v="Alachua"/>
    <n v="43588"/>
    <n v="3493"/>
    <n v="2485"/>
    <n v="6263"/>
  </r>
  <r>
    <x v="2"/>
    <s v="Bradford"/>
    <n v="6178"/>
    <n v="940"/>
    <n v="229"/>
    <n v="1284"/>
  </r>
  <r>
    <x v="2"/>
    <s v="Citrus"/>
    <n v="58925"/>
    <n v="5063"/>
    <n v="560"/>
    <n v="8035"/>
  </r>
  <r>
    <x v="2"/>
    <s v="Columbia"/>
    <n v="15643"/>
    <n v="1944"/>
    <n v="595"/>
    <n v="3062"/>
  </r>
  <r>
    <x v="2"/>
    <s v="Dixie"/>
    <n v="4679"/>
    <n v="470"/>
    <n v="251"/>
    <n v="0"/>
  </r>
  <r>
    <x v="2"/>
    <s v="Gilchrist"/>
    <n v="4295"/>
    <n v="626"/>
    <n v="67"/>
    <n v="0"/>
  </r>
  <r>
    <x v="2"/>
    <s v="Hamilton"/>
    <n v="3134"/>
    <n v="528"/>
    <n v="434"/>
    <n v="0"/>
  </r>
  <r>
    <x v="2"/>
    <s v="Hernando"/>
    <n v="58615"/>
    <n v="4082"/>
    <n v="1018"/>
    <n v="8833"/>
  </r>
  <r>
    <x v="2"/>
    <s v="Lafayette"/>
    <n v="1585"/>
    <n v="234"/>
    <n v="0"/>
    <n v="0"/>
  </r>
  <r>
    <x v="2"/>
    <s v="Lake"/>
    <n v="95511"/>
    <n v="5552"/>
    <n v="2121"/>
    <n v="11399"/>
  </r>
  <r>
    <x v="2"/>
    <s v="Levy"/>
    <n v="11569"/>
    <n v="1524"/>
    <n v="442"/>
    <n v="1661"/>
  </r>
  <r>
    <x v="2"/>
    <s v="Marion"/>
    <n v="114151"/>
    <n v="10551"/>
    <n v="3875"/>
    <n v="15975"/>
  </r>
  <r>
    <x v="2"/>
    <s v="Putnam"/>
    <n v="19962"/>
    <n v="3456"/>
    <n v="1188"/>
    <n v="2797"/>
  </r>
  <r>
    <x v="2"/>
    <s v="Sumter"/>
    <n v="58124"/>
    <n v="3505"/>
    <n v="767"/>
    <n v="4951"/>
  </r>
  <r>
    <x v="2"/>
    <s v="Suwannee"/>
    <n v="11539"/>
    <n v="1729"/>
    <n v="444"/>
    <n v="2213"/>
  </r>
  <r>
    <x v="2"/>
    <s v="Union"/>
    <n v="2756"/>
    <n v="367"/>
    <n v="135"/>
    <n v="0"/>
  </r>
  <r>
    <x v="3"/>
    <s v="Baker"/>
    <n v="4714"/>
    <n v="430"/>
    <n v="127"/>
    <n v="961"/>
  </r>
  <r>
    <x v="3"/>
    <s v="Clay"/>
    <n v="36373"/>
    <n v="2747"/>
    <n v="562"/>
    <n v="5116"/>
  </r>
  <r>
    <x v="3"/>
    <s v="Duval"/>
    <n v="154585"/>
    <n v="15302"/>
    <n v="10621"/>
    <n v="23023"/>
  </r>
  <r>
    <x v="3"/>
    <s v="Flagler"/>
    <n v="33013"/>
    <n v="2081"/>
    <n v="713"/>
    <n v="3662"/>
  </r>
  <r>
    <x v="3"/>
    <s v="Nassau"/>
    <n v="19057"/>
    <n v="1708"/>
    <n v="510"/>
    <n v="2485"/>
  </r>
  <r>
    <x v="3"/>
    <s v="St. Johns"/>
    <n v="47620"/>
    <n v="2856"/>
    <n v="786"/>
    <n v="5297"/>
  </r>
  <r>
    <x v="3"/>
    <s v="Volusia"/>
    <n v="145976"/>
    <n v="13385"/>
    <n v="4363"/>
    <n v="19326"/>
  </r>
  <r>
    <x v="4"/>
    <s v="Pasco"/>
    <n v="132507"/>
    <n v="11355"/>
    <n v="2281"/>
    <n v="17118"/>
  </r>
  <r>
    <x v="4"/>
    <s v="Pinellas"/>
    <n v="272965"/>
    <n v="25138"/>
    <n v="7077"/>
    <n v="40542"/>
  </r>
  <r>
    <x v="5"/>
    <s v="Hardee"/>
    <n v="4901"/>
    <n v="894"/>
    <n v="571"/>
    <n v="825"/>
  </r>
  <r>
    <x v="5"/>
    <s v="Highlands"/>
    <n v="39504"/>
    <n v="3875"/>
    <n v="1781"/>
    <n v="4960"/>
  </r>
  <r>
    <x v="5"/>
    <s v="Hillsborough"/>
    <n v="224205"/>
    <n v="21634"/>
    <n v="16615"/>
    <n v="33704"/>
  </r>
  <r>
    <x v="5"/>
    <s v="Manatee"/>
    <n v="103464"/>
    <n v="7788"/>
    <n v="2014"/>
    <n v="11810"/>
  </r>
  <r>
    <x v="5"/>
    <s v="Polk"/>
    <n v="153576"/>
    <n v="13566"/>
    <n v="7411"/>
    <n v="21764"/>
  </r>
  <r>
    <x v="6"/>
    <s v="Brevard"/>
    <n v="154571"/>
    <n v="11412"/>
    <n v="4057"/>
    <n v="20829"/>
  </r>
  <r>
    <x v="6"/>
    <s v="Orange"/>
    <n v="177969"/>
    <n v="17218"/>
    <n v="16068"/>
    <n v="24923"/>
  </r>
  <r>
    <x v="6"/>
    <s v="Osceola"/>
    <n v="47966"/>
    <n v="4760"/>
    <n v="4547"/>
    <n v="7941"/>
  </r>
  <r>
    <x v="6"/>
    <s v="Seminole"/>
    <n v="81042"/>
    <n v="6378"/>
    <n v="3719"/>
    <n v="10395"/>
  </r>
  <r>
    <x v="7"/>
    <s v="Charlotte"/>
    <n v="70820"/>
    <n v="4540"/>
    <n v="1234"/>
    <n v="8710"/>
  </r>
  <r>
    <x v="7"/>
    <s v="Collier"/>
    <n v="112393"/>
    <n v="6890"/>
    <n v="2458"/>
    <n v="11614"/>
  </r>
  <r>
    <x v="7"/>
    <s v="De Soto"/>
    <n v="8418"/>
    <n v="945"/>
    <n v="358"/>
    <n v="1163"/>
  </r>
  <r>
    <x v="7"/>
    <s v="Glades"/>
    <n v="3792"/>
    <n v="341"/>
    <n v="124"/>
    <n v="0"/>
  </r>
  <r>
    <x v="7"/>
    <s v="Hendry"/>
    <n v="6549"/>
    <n v="802"/>
    <n v="772"/>
    <n v="1343"/>
  </r>
  <r>
    <x v="7"/>
    <s v="Lee"/>
    <n v="200486"/>
    <n v="13401"/>
    <n v="4569"/>
    <n v="21817"/>
  </r>
  <r>
    <x v="7"/>
    <s v="Sarasota"/>
    <n v="154801"/>
    <n v="10424"/>
    <n v="1983"/>
    <n v="17554"/>
  </r>
  <r>
    <x v="8"/>
    <s v="Indian River"/>
    <n v="49694"/>
    <n v="3600"/>
    <n v="995"/>
    <n v="5858"/>
  </r>
  <r>
    <x v="8"/>
    <s v="Martin"/>
    <n v="52652"/>
    <n v="3312"/>
    <n v="804"/>
    <n v="5945"/>
  </r>
  <r>
    <x v="8"/>
    <s v="Okeechobee"/>
    <n v="9188"/>
    <n v="1077"/>
    <n v="295"/>
    <n v="1859"/>
  </r>
  <r>
    <x v="8"/>
    <s v="Palm Beach"/>
    <n v="379800"/>
    <n v="30327"/>
    <n v="16449"/>
    <n v="48811"/>
  </r>
  <r>
    <x v="8"/>
    <s v="St. Lucie"/>
    <n v="76635"/>
    <n v="6004"/>
    <n v="4114"/>
    <n v="9615"/>
  </r>
  <r>
    <x v="9"/>
    <s v="Broward"/>
    <n v="369251"/>
    <n v="42358"/>
    <n v="28872"/>
    <n v="58222"/>
  </r>
  <r>
    <x v="10"/>
    <s v="Miami-Dade"/>
    <n v="506819"/>
    <n v="102199"/>
    <n v="128042"/>
    <n v="86348"/>
  </r>
  <r>
    <x v="10"/>
    <s v="Monroe"/>
    <n v="20040"/>
    <n v="1885"/>
    <n v="1099"/>
    <n v="205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7">
  <r>
    <x v="0"/>
    <s v="Escambia"/>
    <n v="52967"/>
    <n v="8828"/>
    <n v="3886"/>
    <n v="3682"/>
  </r>
  <r>
    <x v="0"/>
    <s v="Okaloosa"/>
    <n v="29409"/>
    <n v="3052"/>
    <n v="667"/>
    <n v="1324"/>
  </r>
  <r>
    <x v="0"/>
    <s v="Santa Rosa"/>
    <n v="21047"/>
    <n v="3213"/>
    <n v="541"/>
    <n v="1602"/>
  </r>
  <r>
    <x v="0"/>
    <s v="Walton"/>
    <n v="10576"/>
    <n v="2032"/>
    <n v="345"/>
    <n v="632"/>
  </r>
  <r>
    <x v="1"/>
    <s v="Bay"/>
    <n v="28383"/>
    <n v="4792"/>
    <n v="1013"/>
    <n v="1995"/>
  </r>
  <r>
    <x v="1"/>
    <s v="Calhoun"/>
    <n v="2542"/>
    <n v="682"/>
    <n v="116"/>
    <n v="127"/>
  </r>
  <r>
    <x v="1"/>
    <s v="Franklin"/>
    <n v="2655"/>
    <n v="754"/>
    <n v="105"/>
    <n v="165"/>
  </r>
  <r>
    <x v="1"/>
    <s v="Gadsden"/>
    <n v="7571"/>
    <n v="2070"/>
    <n v="1844"/>
    <n v="733"/>
  </r>
  <r>
    <x v="1"/>
    <s v="Gulf"/>
    <n v="3074"/>
    <n v="671"/>
    <n v="149"/>
    <n v="231"/>
  </r>
  <r>
    <x v="1"/>
    <s v="Holmes"/>
    <n v="3926"/>
    <n v="1028"/>
    <n v="27"/>
    <n v="430"/>
  </r>
  <r>
    <x v="1"/>
    <s v="Jackson"/>
    <n v="9151"/>
    <n v="2797"/>
    <n v="1202"/>
    <n v="931"/>
  </r>
  <r>
    <x v="1"/>
    <s v="Jefferson"/>
    <n v="2502"/>
    <n v="628"/>
    <n v="322"/>
    <n v="240"/>
  </r>
  <r>
    <x v="1"/>
    <s v="Leon"/>
    <n v="28365"/>
    <n v="4051"/>
    <n v="2257"/>
    <n v="1604"/>
  </r>
  <r>
    <x v="1"/>
    <s v="Liberty"/>
    <n v="1047"/>
    <n v="221"/>
    <n v="36"/>
    <n v="172"/>
  </r>
  <r>
    <x v="1"/>
    <s v="Madison"/>
    <n v="3651"/>
    <n v="1215"/>
    <n v="623"/>
    <n v="313"/>
  </r>
  <r>
    <x v="1"/>
    <s v="Taylor"/>
    <n v="3838"/>
    <n v="976"/>
    <n v="240"/>
    <n v="220"/>
  </r>
  <r>
    <x v="1"/>
    <s v="Wakulla"/>
    <n v="3917"/>
    <n v="646"/>
    <n v="120"/>
    <n v="302"/>
  </r>
  <r>
    <x v="1"/>
    <s v="Washington"/>
    <n v="4719"/>
    <n v="1114"/>
    <n v="169"/>
    <n v="428"/>
  </r>
  <r>
    <x v="2"/>
    <s v="Alachua"/>
    <n v="29318"/>
    <n v="4864"/>
    <n v="2490"/>
    <n v="2046"/>
  </r>
  <r>
    <x v="2"/>
    <s v="Bradford"/>
    <n v="4783"/>
    <n v="951"/>
    <n v="157"/>
    <n v="369"/>
  </r>
  <r>
    <x v="2"/>
    <s v="Citrus"/>
    <n v="50443"/>
    <n v="5648"/>
    <n v="604"/>
    <n v="2230"/>
  </r>
  <r>
    <x v="2"/>
    <s v="Columbia"/>
    <n v="11237"/>
    <n v="2394"/>
    <n v="766"/>
    <n v="882"/>
  </r>
  <r>
    <x v="2"/>
    <s v="Dixie"/>
    <n v="3618"/>
    <n v="1135"/>
    <n v="60"/>
    <n v="314"/>
  </r>
  <r>
    <x v="2"/>
    <s v="Gilchrist"/>
    <n v="2875"/>
    <n v="632"/>
    <n v="81"/>
    <n v="202"/>
  </r>
  <r>
    <x v="2"/>
    <s v="Hamilton"/>
    <n v="2155"/>
    <n v="715"/>
    <n v="335"/>
    <n v="168"/>
  </r>
  <r>
    <x v="2"/>
    <s v="Hernando"/>
    <n v="51010"/>
    <n v="4656"/>
    <n v="829"/>
    <n v="2197"/>
  </r>
  <r>
    <x v="2"/>
    <s v="Lafayette"/>
    <n v="1222"/>
    <n v="376"/>
    <n v="36"/>
    <n v="68"/>
  </r>
  <r>
    <x v="2"/>
    <s v="Lake"/>
    <n v="78263"/>
    <n v="9102"/>
    <n v="1623"/>
    <n v="3327"/>
  </r>
  <r>
    <x v="2"/>
    <s v="Levy"/>
    <n v="9457"/>
    <n v="2021"/>
    <n v="346"/>
    <n v="778"/>
  </r>
  <r>
    <x v="2"/>
    <s v="Marion"/>
    <n v="85493"/>
    <n v="11994"/>
    <n v="2757"/>
    <n v="4333"/>
  </r>
  <r>
    <x v="2"/>
    <s v="Putnam"/>
    <n v="17642"/>
    <n v="3135"/>
    <n v="1092"/>
    <n v="1195"/>
  </r>
  <r>
    <x v="2"/>
    <s v="Sumter"/>
    <n v="22785"/>
    <n v="3911"/>
    <n v="664"/>
    <n v="1164"/>
  </r>
  <r>
    <x v="2"/>
    <s v="Suwannee"/>
    <n v="8706"/>
    <n v="1978"/>
    <n v="398"/>
    <n v="755"/>
  </r>
  <r>
    <x v="2"/>
    <s v="Union"/>
    <n v="1558"/>
    <n v="332"/>
    <n v="70"/>
    <n v="115"/>
  </r>
  <r>
    <x v="3"/>
    <s v="Baker"/>
    <n v="3196"/>
    <n v="784"/>
    <n v="105"/>
    <n v="195"/>
  </r>
  <r>
    <x v="3"/>
    <s v="Clay"/>
    <n v="21819"/>
    <n v="2072"/>
    <n v="468"/>
    <n v="1339"/>
  </r>
  <r>
    <x v="3"/>
    <s v="Duval"/>
    <n v="115145"/>
    <n v="19184"/>
    <n v="10373"/>
    <n v="7950"/>
  </r>
  <r>
    <x v="3"/>
    <s v="Flagler"/>
    <n v="21633"/>
    <n v="1558"/>
    <n v="583"/>
    <n v="617"/>
  </r>
  <r>
    <x v="3"/>
    <s v="Nassau"/>
    <n v="11297"/>
    <n v="2388"/>
    <n v="485"/>
    <n v="728"/>
  </r>
  <r>
    <x v="3"/>
    <s v="St. Johns"/>
    <n v="29298"/>
    <n v="3285"/>
    <n v="753"/>
    <n v="1367"/>
  </r>
  <r>
    <x v="3"/>
    <s v="Volusia"/>
    <n v="127395"/>
    <n v="14326"/>
    <n v="2846"/>
    <n v="6520"/>
  </r>
  <r>
    <x v="4"/>
    <s v="Pasco"/>
    <n v="119964"/>
    <n v="12933"/>
    <n v="844"/>
    <n v="5609"/>
  </r>
  <r>
    <x v="4"/>
    <s v="Pinellas"/>
    <n v="258477"/>
    <n v="25891"/>
    <n v="5159"/>
    <n v="12046"/>
  </r>
  <r>
    <x v="5"/>
    <s v="Hardee"/>
    <n v="5052"/>
    <n v="1134"/>
    <n v="333"/>
    <n v="453"/>
  </r>
  <r>
    <x v="5"/>
    <s v="Highlands"/>
    <n v="36498"/>
    <n v="4544"/>
    <n v="849"/>
    <n v="1874"/>
  </r>
  <r>
    <x v="5"/>
    <s v="Hillsborough"/>
    <n v="171069"/>
    <n v="26230"/>
    <n v="14850"/>
    <n v="10283"/>
  </r>
  <r>
    <x v="5"/>
    <s v="Manatee"/>
    <n v="85494"/>
    <n v="7865"/>
    <n v="1417"/>
    <n v="3374"/>
  </r>
  <r>
    <x v="5"/>
    <s v="Polk"/>
    <n v="123091"/>
    <n v="16461"/>
    <n v="4435"/>
    <n v="6693"/>
  </r>
  <r>
    <x v="6"/>
    <s v="Brevard"/>
    <n v="125181"/>
    <n v="12003"/>
    <n v="2625"/>
    <n v="5548"/>
  </r>
  <r>
    <x v="6"/>
    <s v="Orange"/>
    <n v="131232"/>
    <n v="16553"/>
    <n v="8167"/>
    <n v="7417"/>
  </r>
  <r>
    <x v="6"/>
    <s v="Osceola"/>
    <n v="30484"/>
    <n v="3524"/>
    <n v="939"/>
    <n v="1442"/>
  </r>
  <r>
    <x v="6"/>
    <s v="Seminole"/>
    <n v="57476"/>
    <n v="6161"/>
    <n v="2499"/>
    <n v="3132"/>
  </r>
  <r>
    <x v="7"/>
    <s v="Charlotte"/>
    <n v="62302"/>
    <n v="4644"/>
    <n v="581"/>
    <n v="2464"/>
  </r>
  <r>
    <x v="7"/>
    <s v="Collier"/>
    <n v="89448"/>
    <n v="6299"/>
    <n v="1456"/>
    <n v="2942"/>
  </r>
  <r>
    <x v="7"/>
    <s v="DeSoto"/>
    <n v="8270"/>
    <n v="1104"/>
    <n v="208"/>
    <n v="554"/>
  </r>
  <r>
    <x v="7"/>
    <s v="Glades"/>
    <n v="2819"/>
    <n v="332"/>
    <n v="81"/>
    <n v="90"/>
  </r>
  <r>
    <x v="7"/>
    <s v="Hendry"/>
    <n v="5182"/>
    <n v="1028"/>
    <n v="456"/>
    <n v="313"/>
  </r>
  <r>
    <x v="7"/>
    <s v="Lee"/>
    <n v="149586"/>
    <n v="12313"/>
    <n v="2159"/>
    <n v="5785"/>
  </r>
  <r>
    <x v="7"/>
    <s v="Sarasota"/>
    <n v="131896"/>
    <n v="9830"/>
    <n v="1324"/>
    <n v="5525"/>
  </r>
  <r>
    <x v="8"/>
    <s v="Indian River"/>
    <n v="41658"/>
    <n v="3765"/>
    <n v="594"/>
    <n v="1559"/>
  </r>
  <r>
    <x v="8"/>
    <s v="Martin"/>
    <n v="45272"/>
    <n v="4011"/>
    <n v="485"/>
    <n v="1781"/>
  </r>
  <r>
    <x v="8"/>
    <s v="Okeechobee"/>
    <n v="8224"/>
    <n v="1645"/>
    <n v="180"/>
    <n v="582"/>
  </r>
  <r>
    <x v="8"/>
    <s v="Palm Beach"/>
    <n v="328378"/>
    <n v="30361"/>
    <n v="9195"/>
    <n v="14217"/>
  </r>
  <r>
    <x v="8"/>
    <s v="St. Lucie"/>
    <n v="57594"/>
    <n v="5981"/>
    <n v="2149"/>
    <n v="2594"/>
  </r>
  <r>
    <x v="9"/>
    <s v="Broward"/>
    <n v="338417"/>
    <n v="40324"/>
    <n v="13428"/>
    <n v="19131"/>
  </r>
  <r>
    <x v="10"/>
    <s v="Miami-Dade"/>
    <n v="413568"/>
    <n v="86645"/>
    <n v="94007"/>
    <n v="30549"/>
  </r>
  <r>
    <x v="10"/>
    <s v="Monroe"/>
    <n v="16591"/>
    <n v="2075"/>
    <n v="844"/>
    <n v="7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rowHeaderCaption="PSA">
  <location ref="A3:E16" firstHeaderRow="1" firstDataRow="2" firstDataCol="1"/>
  <pivotFields count="6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numFmtId="165" showAll="0" defaultSubtotal="0"/>
    <pivotField dataField="1" numFmtId="165" showAll="0" defaultSubtotal="0"/>
    <pivotField dataField="1" numFmtId="165" showAll="0" defaultSubtotal="0"/>
    <pivotField dataField="1" numFmtId="165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opulation 60+" fld="2" baseField="0" baseItem="0"/>
    <dataField name="Sum of Population 60+ Below Federal Poverty Level (FPL)" fld="3" baseField="0" baseItem="0"/>
    <dataField name="Sum of Minority Population 60+ Below 125% FPL" fld="4" baseField="0" baseItem="0"/>
    <dataField name="Sum of Population 65+ With 2 or More Disabilities" fld="5" baseField="0" baseItem="0"/>
  </dataFields>
  <formats count="9">
    <format dxfId="18">
      <pivotArea type="all" dataOnly="0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all" dataOnly="0" outline="0" fieldPosition="0"/>
    </format>
    <format dxfId="14">
      <pivotArea type="all" dataOnly="0" outline="0" fieldPosition="0"/>
    </format>
    <format dxfId="13">
      <pivotArea type="all" dataOnly="0" outline="0" fieldPosition="0"/>
    </format>
    <format dxfId="12">
      <pivotArea field="0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rowHeaderCaption="PSA">
  <location ref="A3:E16" firstHeaderRow="1" firstDataRow="2" firstDataCol="1"/>
  <pivotFields count="6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60+" fld="2" baseField="0" baseItem="0" numFmtId="41"/>
    <dataField name="Sum of Low Income 60+" fld="3" baseField="0" baseItem="0" numFmtId="41"/>
    <dataField name="Sum of Minority 60+ 125% PL" fld="4" baseField="0" baseItem="0" numFmtId="41"/>
    <dataField name="Sum of Mobility &amp; Self Care Limitations 60+" fld="5" baseField="0" baseItem="0" numFmtId="41"/>
  </dataFields>
  <formats count="10">
    <format dxfId="9">
      <pivotArea type="all" dataOnly="0" outline="0" fieldPosition="0"/>
    </format>
    <format dxfId="8">
      <pivotArea type="all" dataOnly="0" outline="0" fieldPosition="0"/>
    </format>
    <format dxfId="7">
      <pivotArea outline="0" fieldPosition="0">
        <references count="1">
          <reference field="4294967294" count="1">
            <x v="0"/>
          </reference>
        </references>
      </pivotArea>
    </format>
    <format dxfId="6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">
      <pivotArea type="origin" dataOnly="0" labelOnly="1" outline="0" fieldPosition="0"/>
    </format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D61"/>
  <sheetViews>
    <sheetView showGridLines="0" tabSelected="1" zoomScale="85" zoomScaleNormal="85" workbookViewId="0">
      <selection activeCell="C11" sqref="C11"/>
    </sheetView>
  </sheetViews>
  <sheetFormatPr defaultColWidth="8" defaultRowHeight="15.75" outlineLevelCol="1"/>
  <cols>
    <col min="1" max="1" width="2.88671875" style="301" customWidth="1"/>
    <col min="2" max="2" width="1.44140625" style="301" customWidth="1"/>
    <col min="3" max="3" width="6" style="301" customWidth="1"/>
    <col min="4" max="25" width="13" style="301" customWidth="1"/>
    <col min="26" max="28" width="13" style="301" hidden="1" customWidth="1" outlineLevel="1"/>
    <col min="29" max="29" width="13" style="301" customWidth="1" collapsed="1"/>
    <col min="30" max="16384" width="8" style="301"/>
  </cols>
  <sheetData>
    <row r="1" spans="2:30" ht="18.75">
      <c r="B1" s="454" t="s">
        <v>304</v>
      </c>
      <c r="C1" s="454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</row>
    <row r="2" spans="2:30">
      <c r="B2" s="303" t="s">
        <v>261</v>
      </c>
      <c r="C2" s="303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</row>
    <row r="3" spans="2:30" ht="18.75" customHeight="1">
      <c r="B3" s="303" t="s">
        <v>262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</row>
    <row r="4" spans="2:30"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</row>
    <row r="5" spans="2:30"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</row>
    <row r="6" spans="2:30" s="305" customFormat="1" ht="7.5" customHeight="1">
      <c r="B6" s="460"/>
      <c r="C6" s="461"/>
      <c r="D6" s="462"/>
      <c r="E6" s="463"/>
      <c r="F6" s="463"/>
      <c r="G6" s="473"/>
      <c r="H6" s="462"/>
      <c r="I6" s="463"/>
      <c r="J6" s="463"/>
      <c r="K6" s="473"/>
      <c r="L6" s="462"/>
      <c r="M6" s="463"/>
      <c r="N6" s="463"/>
      <c r="O6" s="473"/>
      <c r="P6" s="462"/>
      <c r="Q6" s="463"/>
      <c r="R6" s="463"/>
      <c r="S6" s="473"/>
      <c r="T6" s="462"/>
      <c r="U6" s="463"/>
      <c r="V6" s="463"/>
      <c r="W6" s="474"/>
      <c r="X6" s="474"/>
      <c r="Y6" s="475"/>
      <c r="Z6" s="476"/>
      <c r="AA6" s="476"/>
      <c r="AB6" s="476"/>
      <c r="AC6" s="477"/>
    </row>
    <row r="7" spans="2:30" s="312" customFormat="1">
      <c r="B7" s="456"/>
      <c r="C7" s="306"/>
      <c r="D7" s="307">
        <v>2013</v>
      </c>
      <c r="E7" s="307">
        <v>2012</v>
      </c>
      <c r="F7" s="307">
        <v>2011</v>
      </c>
      <c r="G7" s="308" t="s">
        <v>1</v>
      </c>
      <c r="H7" s="307">
        <v>2013</v>
      </c>
      <c r="I7" s="307">
        <v>2012</v>
      </c>
      <c r="J7" s="307">
        <v>2011</v>
      </c>
      <c r="K7" s="308" t="s">
        <v>1</v>
      </c>
      <c r="L7" s="307">
        <v>2013</v>
      </c>
      <c r="M7" s="307">
        <v>2012</v>
      </c>
      <c r="N7" s="307">
        <v>2011</v>
      </c>
      <c r="O7" s="308" t="s">
        <v>1</v>
      </c>
      <c r="P7" s="307">
        <v>2013</v>
      </c>
      <c r="Q7" s="307">
        <v>2012</v>
      </c>
      <c r="R7" s="307">
        <v>2011</v>
      </c>
      <c r="S7" s="308" t="s">
        <v>1</v>
      </c>
      <c r="T7" s="307">
        <v>2013</v>
      </c>
      <c r="U7" s="307">
        <v>2012</v>
      </c>
      <c r="V7" s="307">
        <v>2011</v>
      </c>
      <c r="W7" s="309" t="s">
        <v>1</v>
      </c>
      <c r="X7" s="309">
        <v>2013</v>
      </c>
      <c r="Y7" s="310">
        <v>2013</v>
      </c>
      <c r="Z7" s="311">
        <v>2012</v>
      </c>
      <c r="AA7" s="311"/>
      <c r="AB7" s="311"/>
      <c r="AC7" s="478"/>
    </row>
    <row r="8" spans="2:30">
      <c r="B8" s="455"/>
      <c r="C8" s="304"/>
      <c r="D8" s="307" t="s">
        <v>197</v>
      </c>
      <c r="E8" s="314" t="s">
        <v>263</v>
      </c>
      <c r="F8" s="314" t="s">
        <v>263</v>
      </c>
      <c r="G8" s="308" t="s">
        <v>197</v>
      </c>
      <c r="H8" s="307" t="s">
        <v>198</v>
      </c>
      <c r="I8" s="314" t="s">
        <v>263</v>
      </c>
      <c r="J8" s="314" t="s">
        <v>263</v>
      </c>
      <c r="K8" s="308" t="s">
        <v>198</v>
      </c>
      <c r="L8" s="307" t="s">
        <v>199</v>
      </c>
      <c r="M8" s="314" t="s">
        <v>263</v>
      </c>
      <c r="N8" s="314" t="s">
        <v>263</v>
      </c>
      <c r="O8" s="308" t="s">
        <v>199</v>
      </c>
      <c r="P8" s="307" t="s">
        <v>200</v>
      </c>
      <c r="Q8" s="314" t="s">
        <v>263</v>
      </c>
      <c r="R8" s="314" t="s">
        <v>263</v>
      </c>
      <c r="S8" s="308" t="s">
        <v>200</v>
      </c>
      <c r="T8" s="307" t="s">
        <v>3</v>
      </c>
      <c r="U8" s="314" t="s">
        <v>263</v>
      </c>
      <c r="V8" s="314" t="s">
        <v>263</v>
      </c>
      <c r="W8" s="309" t="s">
        <v>3</v>
      </c>
      <c r="X8" s="309" t="s">
        <v>4</v>
      </c>
      <c r="Y8" s="310" t="s">
        <v>3</v>
      </c>
      <c r="Z8" s="60" t="s">
        <v>3</v>
      </c>
      <c r="AA8" s="60"/>
      <c r="AB8" s="60" t="s">
        <v>124</v>
      </c>
      <c r="AC8" s="478" t="s">
        <v>1</v>
      </c>
    </row>
    <row r="9" spans="2:30">
      <c r="B9" s="455"/>
      <c r="C9" s="304" t="s">
        <v>5</v>
      </c>
      <c r="D9" s="307" t="s">
        <v>6</v>
      </c>
      <c r="E9" s="307" t="s">
        <v>264</v>
      </c>
      <c r="F9" s="307" t="s">
        <v>264</v>
      </c>
      <c r="G9" s="308" t="s">
        <v>6</v>
      </c>
      <c r="H9" s="307" t="s">
        <v>8</v>
      </c>
      <c r="I9" s="307" t="s">
        <v>264</v>
      </c>
      <c r="J9" s="307" t="s">
        <v>264</v>
      </c>
      <c r="K9" s="308" t="s">
        <v>8</v>
      </c>
      <c r="L9" s="307" t="s">
        <v>9</v>
      </c>
      <c r="M9" s="307" t="s">
        <v>264</v>
      </c>
      <c r="N9" s="307" t="s">
        <v>264</v>
      </c>
      <c r="O9" s="308" t="s">
        <v>9</v>
      </c>
      <c r="P9" s="307" t="s">
        <v>15</v>
      </c>
      <c r="Q9" s="307" t="s">
        <v>264</v>
      </c>
      <c r="R9" s="307" t="s">
        <v>264</v>
      </c>
      <c r="S9" s="308" t="s">
        <v>15</v>
      </c>
      <c r="T9" s="307" t="s">
        <v>10</v>
      </c>
      <c r="U9" s="307" t="s">
        <v>264</v>
      </c>
      <c r="V9" s="307" t="s">
        <v>264</v>
      </c>
      <c r="W9" s="309" t="s">
        <v>10</v>
      </c>
      <c r="X9" s="309" t="s">
        <v>10</v>
      </c>
      <c r="Y9" s="310" t="s">
        <v>11</v>
      </c>
      <c r="Z9" s="60" t="s">
        <v>11</v>
      </c>
      <c r="AA9" s="60"/>
      <c r="AB9" s="60" t="s">
        <v>7</v>
      </c>
      <c r="AC9" s="478" t="s">
        <v>3</v>
      </c>
    </row>
    <row r="10" spans="2:30">
      <c r="B10" s="455"/>
      <c r="C10" s="304"/>
      <c r="D10" s="307" t="s">
        <v>12</v>
      </c>
      <c r="E10" s="466"/>
      <c r="F10" s="307"/>
      <c r="G10" s="308" t="s">
        <v>12</v>
      </c>
      <c r="H10" s="307" t="s">
        <v>13</v>
      </c>
      <c r="I10" s="466"/>
      <c r="J10" s="307"/>
      <c r="K10" s="308" t="s">
        <v>13</v>
      </c>
      <c r="L10" s="307" t="s">
        <v>13</v>
      </c>
      <c r="M10" s="466"/>
      <c r="N10" s="307"/>
      <c r="O10" s="308" t="s">
        <v>13</v>
      </c>
      <c r="P10" s="307" t="s">
        <v>14</v>
      </c>
      <c r="Q10" s="466"/>
      <c r="R10" s="307"/>
      <c r="S10" s="308" t="s">
        <v>14</v>
      </c>
      <c r="T10" s="307" t="s">
        <v>16</v>
      </c>
      <c r="U10" s="466"/>
      <c r="V10" s="307"/>
      <c r="W10" s="309" t="s">
        <v>16</v>
      </c>
      <c r="X10" s="309" t="s">
        <v>16</v>
      </c>
      <c r="Y10" s="310" t="s">
        <v>17</v>
      </c>
      <c r="Z10" s="60" t="s">
        <v>18</v>
      </c>
      <c r="AA10" s="60" t="s">
        <v>19</v>
      </c>
      <c r="AB10" s="93" t="s">
        <v>20</v>
      </c>
      <c r="AC10" s="478" t="s">
        <v>12</v>
      </c>
    </row>
    <row r="11" spans="2:30" ht="7.5" customHeight="1" thickBot="1">
      <c r="B11" s="455"/>
      <c r="C11" s="304"/>
      <c r="D11" s="315"/>
      <c r="E11" s="315"/>
      <c r="F11" s="315"/>
      <c r="G11" s="308"/>
      <c r="H11" s="315"/>
      <c r="I11" s="315"/>
      <c r="J11" s="315"/>
      <c r="K11" s="308"/>
      <c r="L11" s="315"/>
      <c r="M11" s="315"/>
      <c r="N11" s="315"/>
      <c r="O11" s="308"/>
      <c r="P11" s="315"/>
      <c r="Q11" s="315"/>
      <c r="R11" s="315"/>
      <c r="S11" s="308"/>
      <c r="T11" s="315"/>
      <c r="U11" s="315"/>
      <c r="V11" s="315"/>
      <c r="W11" s="316"/>
      <c r="X11" s="316"/>
      <c r="Y11" s="310"/>
      <c r="Z11" s="60"/>
      <c r="AA11" s="60"/>
      <c r="AB11" s="60"/>
      <c r="AC11" s="478"/>
    </row>
    <row r="12" spans="2:30" ht="24" customHeight="1">
      <c r="B12" s="457"/>
      <c r="C12" s="317">
        <v>1</v>
      </c>
      <c r="D12" s="379">
        <f>+'2013 Svcs &amp; Admin Allocation'!G12</f>
        <v>708158</v>
      </c>
      <c r="E12" s="379">
        <f>+'2012 CF OAA'!D9</f>
        <v>65929.530000000028</v>
      </c>
      <c r="F12" s="379">
        <v>0</v>
      </c>
      <c r="G12" s="380">
        <f t="shared" ref="G12" si="0">SUM(D12:F12)</f>
        <v>774087.53</v>
      </c>
      <c r="H12" s="379">
        <f>+'2013 Svcs &amp; Admin Allocation'!J12</f>
        <v>777176</v>
      </c>
      <c r="I12" s="379">
        <f>+'2012 CF OAA'!E9</f>
        <v>71359.969999999972</v>
      </c>
      <c r="J12" s="379">
        <v>0</v>
      </c>
      <c r="K12" s="380">
        <f>SUM(H12:J12)</f>
        <v>848535.97</v>
      </c>
      <c r="L12" s="379">
        <f>+'2013 Svcs &amp; Admin Allocation'!M12</f>
        <v>408776</v>
      </c>
      <c r="M12" s="379">
        <f>+'2012 CF OAA'!F9</f>
        <v>24867.969999999972</v>
      </c>
      <c r="N12" s="379">
        <v>0</v>
      </c>
      <c r="O12" s="380">
        <f>SUM(L12:N12)</f>
        <v>433643.97</v>
      </c>
      <c r="P12" s="379">
        <f>+'2013 Svcs &amp; Admin Allocation'!P12</f>
        <v>272138</v>
      </c>
      <c r="Q12" s="379">
        <f>+'2012 CF OAA'!G9</f>
        <v>36113.72</v>
      </c>
      <c r="R12" s="379">
        <v>0</v>
      </c>
      <c r="S12" s="380">
        <f>SUM(P12:R12)</f>
        <v>308251.71999999997</v>
      </c>
      <c r="T12" s="379">
        <f>+'2013 Svcs &amp; Admin Allocation'!Q12</f>
        <v>336943.67000000004</v>
      </c>
      <c r="U12" s="379">
        <f>+'2012 CF OAA'!C9</f>
        <v>36543.260000000009</v>
      </c>
      <c r="V12" s="379">
        <v>19.59</v>
      </c>
      <c r="W12" s="381">
        <f>SUM(T12:V12)</f>
        <v>373506.52000000008</v>
      </c>
      <c r="X12" s="381">
        <f>+'2013 Svcs &amp; Admin Allocation'!R12</f>
        <v>15269</v>
      </c>
      <c r="Y12" s="382">
        <f>+G12+K12+O12+S12+W12+X12</f>
        <v>2753294.71</v>
      </c>
      <c r="Z12" s="383">
        <v>2764774</v>
      </c>
      <c r="AA12" s="383">
        <f t="shared" ref="AA12:AA22" si="1">Y12-Z12</f>
        <v>-11479.290000000037</v>
      </c>
      <c r="AB12" s="383">
        <f t="shared" ref="AB12:AB22" si="2">SUM(AA12/Z12)</f>
        <v>-4.1519813192687858E-3</v>
      </c>
      <c r="AC12" s="479">
        <f t="shared" ref="AC12:AC22" si="3">+G12+K12+O12+S12</f>
        <v>2364519.19</v>
      </c>
      <c r="AD12" s="318"/>
    </row>
    <row r="13" spans="2:30" ht="24" customHeight="1">
      <c r="B13" s="458"/>
      <c r="C13" s="319">
        <v>2</v>
      </c>
      <c r="D13" s="384">
        <f>+'2013 Svcs &amp; Admin Allocation'!G13</f>
        <v>816764</v>
      </c>
      <c r="E13" s="384">
        <f>+'2012 CF OAA'!D10</f>
        <v>0</v>
      </c>
      <c r="F13" s="384">
        <v>0</v>
      </c>
      <c r="G13" s="385">
        <f t="shared" ref="G13" si="4">SUM(D13:F13)</f>
        <v>816764</v>
      </c>
      <c r="H13" s="384">
        <f>+'2013 Svcs &amp; Admin Allocation'!J13</f>
        <v>892046</v>
      </c>
      <c r="I13" s="384">
        <f>+'2012 CF OAA'!E10</f>
        <v>0</v>
      </c>
      <c r="J13" s="384">
        <v>0</v>
      </c>
      <c r="K13" s="385">
        <f t="shared" ref="K13:K22" si="5">SUM(H13:J13)</f>
        <v>892046</v>
      </c>
      <c r="L13" s="384">
        <f>+'2013 Svcs &amp; Admin Allocation'!M13</f>
        <v>469236</v>
      </c>
      <c r="M13" s="384">
        <f>+'2012 CF OAA'!F10</f>
        <v>0</v>
      </c>
      <c r="N13" s="384">
        <v>0</v>
      </c>
      <c r="O13" s="385">
        <f t="shared" ref="O13:O22" si="6">SUM(L13:N13)</f>
        <v>469236</v>
      </c>
      <c r="P13" s="384">
        <f>+'2013 Svcs &amp; Admin Allocation'!P13</f>
        <v>313871</v>
      </c>
      <c r="Q13" s="384">
        <f>+'2012 CF OAA'!G10</f>
        <v>20147.010000000009</v>
      </c>
      <c r="R13" s="384">
        <v>0</v>
      </c>
      <c r="S13" s="385">
        <f t="shared" ref="S13:S22" si="7">SUM(P13:R13)</f>
        <v>334018.01</v>
      </c>
      <c r="T13" s="384">
        <f>+'2013 Svcs &amp; Admin Allocation'!Q13</f>
        <v>444960</v>
      </c>
      <c r="U13" s="384">
        <f>+'2012 CF OAA'!C10</f>
        <v>22126.200000000012</v>
      </c>
      <c r="V13" s="384">
        <v>0</v>
      </c>
      <c r="W13" s="386">
        <f>SUM(T13:V13)</f>
        <v>467086.2</v>
      </c>
      <c r="X13" s="386">
        <f>+'2013 Svcs &amp; Admin Allocation'!R13</f>
        <v>20163</v>
      </c>
      <c r="Y13" s="387">
        <f>+G13+K13+O13+S13+W13+X13</f>
        <v>2999313.21</v>
      </c>
      <c r="Z13" s="388">
        <v>3282374</v>
      </c>
      <c r="AA13" s="388">
        <f t="shared" si="1"/>
        <v>-283060.79000000004</v>
      </c>
      <c r="AB13" s="388">
        <f t="shared" si="2"/>
        <v>-8.6236604969451999E-2</v>
      </c>
      <c r="AC13" s="480">
        <f t="shared" si="3"/>
        <v>2512064.0099999998</v>
      </c>
      <c r="AD13" s="318"/>
    </row>
    <row r="14" spans="2:30" ht="24" customHeight="1">
      <c r="B14" s="458"/>
      <c r="C14" s="319">
        <v>3</v>
      </c>
      <c r="D14" s="384">
        <f>+'2013 Svcs &amp; Admin Allocation'!G14</f>
        <v>2153985</v>
      </c>
      <c r="E14" s="384">
        <f>+'2012 CF OAA'!D11</f>
        <v>116691.08000000007</v>
      </c>
      <c r="F14" s="384">
        <v>0</v>
      </c>
      <c r="G14" s="385">
        <f t="shared" ref="G14:G22" si="8">SUM(D14:F14)</f>
        <v>2270676.08</v>
      </c>
      <c r="H14" s="384">
        <f>+'2013 Svcs &amp; Admin Allocation'!J14</f>
        <v>2386693</v>
      </c>
      <c r="I14" s="384">
        <f>+'2012 CF OAA'!E11</f>
        <v>9301.2700000000186</v>
      </c>
      <c r="J14" s="384">
        <v>0</v>
      </c>
      <c r="K14" s="385">
        <f t="shared" si="5"/>
        <v>2395994.27</v>
      </c>
      <c r="L14" s="384">
        <f>+'2013 Svcs &amp; Admin Allocation'!M14</f>
        <v>1255121</v>
      </c>
      <c r="M14" s="384">
        <f>+'2012 CF OAA'!F11</f>
        <v>8669.6299999998882</v>
      </c>
      <c r="N14" s="384">
        <v>0</v>
      </c>
      <c r="O14" s="385">
        <f t="shared" si="6"/>
        <v>1263790.6299999999</v>
      </c>
      <c r="P14" s="384">
        <f>+'2013 Svcs &amp; Admin Allocation'!P14</f>
        <v>827749</v>
      </c>
      <c r="Q14" s="384">
        <f>+'2012 CF OAA'!G11</f>
        <v>43955.199999999953</v>
      </c>
      <c r="R14" s="384">
        <v>0</v>
      </c>
      <c r="S14" s="385">
        <f t="shared" si="7"/>
        <v>871704.2</v>
      </c>
      <c r="T14" s="384">
        <f>+'2013 Svcs &amp; Admin Allocation'!Q14</f>
        <v>845908.3600000001</v>
      </c>
      <c r="U14" s="384">
        <f>+'2012 CF OAA'!C11</f>
        <v>60676.359999999986</v>
      </c>
      <c r="V14" s="384">
        <v>8.3000000000000007</v>
      </c>
      <c r="W14" s="386">
        <f t="shared" ref="W14:W22" si="9">SUM(T14:V14)</f>
        <v>906593.02000000014</v>
      </c>
      <c r="X14" s="386">
        <f>+'2013 Svcs &amp; Admin Allocation'!R14</f>
        <v>38332</v>
      </c>
      <c r="Y14" s="387">
        <f t="shared" ref="Y14:Y22" si="10">+G14+K14+O14+S14+W14+X14</f>
        <v>7747090.2000000002</v>
      </c>
      <c r="Z14" s="388">
        <v>8270213</v>
      </c>
      <c r="AA14" s="388">
        <f t="shared" si="1"/>
        <v>-523122.79999999981</v>
      </c>
      <c r="AB14" s="388">
        <f t="shared" si="2"/>
        <v>-6.3253848480081448E-2</v>
      </c>
      <c r="AC14" s="480">
        <f t="shared" si="3"/>
        <v>6802165.1799999997</v>
      </c>
      <c r="AD14" s="318"/>
    </row>
    <row r="15" spans="2:30" ht="24" customHeight="1">
      <c r="B15" s="458"/>
      <c r="C15" s="319">
        <v>4</v>
      </c>
      <c r="D15" s="384">
        <f>+'2013 Svcs &amp; Admin Allocation'!G15</f>
        <v>1915351</v>
      </c>
      <c r="E15" s="384">
        <f>+'2012 CF OAA'!D12</f>
        <v>31969.64000000013</v>
      </c>
      <c r="F15" s="384">
        <v>0</v>
      </c>
      <c r="G15" s="385">
        <f t="shared" si="8"/>
        <v>1947320.6400000001</v>
      </c>
      <c r="H15" s="384">
        <f>+'2013 Svcs &amp; Admin Allocation'!J15</f>
        <v>2125164</v>
      </c>
      <c r="I15" s="384">
        <f>+'2012 CF OAA'!E12</f>
        <v>0</v>
      </c>
      <c r="J15" s="384">
        <v>0</v>
      </c>
      <c r="K15" s="385">
        <f t="shared" si="5"/>
        <v>2125164</v>
      </c>
      <c r="L15" s="384">
        <f>+'2013 Svcs &amp; Admin Allocation'!M15</f>
        <v>1117560</v>
      </c>
      <c r="M15" s="384">
        <f>+'2012 CF OAA'!F12</f>
        <v>0</v>
      </c>
      <c r="N15" s="384">
        <v>0</v>
      </c>
      <c r="O15" s="385">
        <f t="shared" si="6"/>
        <v>1117560</v>
      </c>
      <c r="P15" s="384">
        <f>+'2013 Svcs &amp; Admin Allocation'!P15</f>
        <v>736045</v>
      </c>
      <c r="Q15" s="384">
        <f>+'2012 CF OAA'!G12</f>
        <v>28913.339999999967</v>
      </c>
      <c r="R15" s="384">
        <v>0</v>
      </c>
      <c r="S15" s="385">
        <f t="shared" si="7"/>
        <v>764958.34</v>
      </c>
      <c r="T15" s="384">
        <f>+'2013 Svcs &amp; Admin Allocation'!Q15</f>
        <v>685050.4</v>
      </c>
      <c r="U15" s="384">
        <f>+'2012 CF OAA'!C12</f>
        <v>32289.510000000009</v>
      </c>
      <c r="V15" s="384">
        <v>0</v>
      </c>
      <c r="W15" s="386">
        <f t="shared" si="9"/>
        <v>717339.91</v>
      </c>
      <c r="X15" s="386">
        <f>+'2013 Svcs &amp; Admin Allocation'!R15</f>
        <v>31043</v>
      </c>
      <c r="Y15" s="387">
        <f t="shared" si="10"/>
        <v>6703385.8900000006</v>
      </c>
      <c r="Z15" s="388">
        <v>7296614</v>
      </c>
      <c r="AA15" s="388">
        <f t="shared" si="1"/>
        <v>-593228.1099999994</v>
      </c>
      <c r="AB15" s="388">
        <f t="shared" si="2"/>
        <v>-8.1301835344448722E-2</v>
      </c>
      <c r="AC15" s="480">
        <f t="shared" si="3"/>
        <v>5955002.9800000004</v>
      </c>
      <c r="AD15" s="318"/>
    </row>
    <row r="16" spans="2:30" ht="24" customHeight="1">
      <c r="B16" s="458"/>
      <c r="C16" s="319">
        <v>5</v>
      </c>
      <c r="D16" s="384">
        <f>+'2013 Svcs &amp; Admin Allocation'!G16</f>
        <v>1770919</v>
      </c>
      <c r="E16" s="384">
        <f>+'2012 CF OAA'!D13</f>
        <v>48913.089999999851</v>
      </c>
      <c r="F16" s="384">
        <v>0</v>
      </c>
      <c r="G16" s="385">
        <f t="shared" si="8"/>
        <v>1819832.0899999999</v>
      </c>
      <c r="H16" s="384">
        <f>+'2013 Svcs &amp; Admin Allocation'!J16</f>
        <v>1958216</v>
      </c>
      <c r="I16" s="384">
        <f>+'2012 CF OAA'!E13</f>
        <v>0</v>
      </c>
      <c r="J16" s="384">
        <v>0</v>
      </c>
      <c r="K16" s="385">
        <f t="shared" si="5"/>
        <v>1958216</v>
      </c>
      <c r="L16" s="384">
        <f>+'2013 Svcs &amp; Admin Allocation'!M16</f>
        <v>1029831</v>
      </c>
      <c r="M16" s="384">
        <f>+'2012 CF OAA'!F13</f>
        <v>0</v>
      </c>
      <c r="N16" s="384">
        <v>0</v>
      </c>
      <c r="O16" s="385">
        <f t="shared" si="6"/>
        <v>1029831</v>
      </c>
      <c r="P16" s="384">
        <f>+'2013 Svcs &amp; Admin Allocation'!P16</f>
        <v>680542</v>
      </c>
      <c r="Q16" s="384">
        <f>+'2012 CF OAA'!G13</f>
        <v>51664.890000000014</v>
      </c>
      <c r="R16" s="384">
        <v>0</v>
      </c>
      <c r="S16" s="385">
        <f t="shared" si="7"/>
        <v>732206.89</v>
      </c>
      <c r="T16" s="384">
        <f>+'2013 Svcs &amp; Admin Allocation'!Q16</f>
        <v>621416.56000000006</v>
      </c>
      <c r="U16" s="384">
        <f>+'2012 CF OAA'!C13</f>
        <v>102088.94999999995</v>
      </c>
      <c r="V16" s="384">
        <v>0</v>
      </c>
      <c r="W16" s="386">
        <f t="shared" si="9"/>
        <v>723505.51</v>
      </c>
      <c r="X16" s="386">
        <f>+'2013 Svcs &amp; Admin Allocation'!R16</f>
        <v>28159</v>
      </c>
      <c r="Y16" s="387">
        <f t="shared" si="10"/>
        <v>6291750.4899999993</v>
      </c>
      <c r="Z16" s="388">
        <v>6671051</v>
      </c>
      <c r="AA16" s="388">
        <f t="shared" si="1"/>
        <v>-379300.51000000071</v>
      </c>
      <c r="AB16" s="388">
        <f t="shared" si="2"/>
        <v>-5.6857684044088509E-2</v>
      </c>
      <c r="AC16" s="480">
        <f t="shared" si="3"/>
        <v>5540085.9799999995</v>
      </c>
      <c r="AD16" s="318"/>
    </row>
    <row r="17" spans="2:30" ht="24" customHeight="1">
      <c r="B17" s="458"/>
      <c r="C17" s="319">
        <v>6</v>
      </c>
      <c r="D17" s="384">
        <f>+'2013 Svcs &amp; Admin Allocation'!G17</f>
        <v>2465294</v>
      </c>
      <c r="E17" s="384">
        <f>+'2012 CF OAA'!D14</f>
        <v>167999.60999999987</v>
      </c>
      <c r="F17" s="384">
        <v>0</v>
      </c>
      <c r="G17" s="385">
        <f t="shared" si="8"/>
        <v>2633293.61</v>
      </c>
      <c r="H17" s="384">
        <f>+'2013 Svcs &amp; Admin Allocation'!J17</f>
        <v>2727864</v>
      </c>
      <c r="I17" s="384">
        <f>+'2012 CF OAA'!E14</f>
        <v>35017.350000000093</v>
      </c>
      <c r="J17" s="384">
        <v>0</v>
      </c>
      <c r="K17" s="385">
        <f t="shared" si="5"/>
        <v>2762881.35</v>
      </c>
      <c r="L17" s="384">
        <f>+'2013 Svcs &amp; Admin Allocation'!M17</f>
        <v>1434573</v>
      </c>
      <c r="M17" s="384">
        <f>+'2012 CF OAA'!F14</f>
        <v>6781.8199999998324</v>
      </c>
      <c r="N17" s="384">
        <v>0</v>
      </c>
      <c r="O17" s="385">
        <f t="shared" si="6"/>
        <v>1441354.8199999998</v>
      </c>
      <c r="P17" s="384">
        <f>+'2013 Svcs &amp; Admin Allocation'!P17</f>
        <v>947381</v>
      </c>
      <c r="Q17" s="384">
        <f>+'2012 CF OAA'!G14</f>
        <v>20088.199999999953</v>
      </c>
      <c r="R17" s="384">
        <v>0</v>
      </c>
      <c r="S17" s="385">
        <f t="shared" si="7"/>
        <v>967469.2</v>
      </c>
      <c r="T17" s="384">
        <f>+'2013 Svcs &amp; Admin Allocation'!Q17</f>
        <v>812886.84000000008</v>
      </c>
      <c r="U17" s="384">
        <f>+'2012 CF OAA'!C14</f>
        <v>87516.809999999939</v>
      </c>
      <c r="V17" s="384">
        <v>0</v>
      </c>
      <c r="W17" s="386">
        <f t="shared" si="9"/>
        <v>900403.65</v>
      </c>
      <c r="X17" s="386">
        <f>+'2013 Svcs &amp; Admin Allocation'!R17</f>
        <v>36835</v>
      </c>
      <c r="Y17" s="387">
        <f t="shared" si="10"/>
        <v>8742237.629999999</v>
      </c>
      <c r="Z17" s="388">
        <v>9223415</v>
      </c>
      <c r="AA17" s="388">
        <f t="shared" si="1"/>
        <v>-481177.37000000104</v>
      </c>
      <c r="AB17" s="388">
        <f t="shared" si="2"/>
        <v>-5.2169111982926175E-2</v>
      </c>
      <c r="AC17" s="480">
        <f t="shared" si="3"/>
        <v>7804998.9799999995</v>
      </c>
      <c r="AD17" s="318"/>
    </row>
    <row r="18" spans="2:30" ht="24" customHeight="1">
      <c r="B18" s="459"/>
      <c r="C18" s="320">
        <v>7</v>
      </c>
      <c r="D18" s="384">
        <f>+'2013 Svcs &amp; Admin Allocation'!G18</f>
        <v>1818657</v>
      </c>
      <c r="E18" s="384">
        <f>+'2012 CF OAA'!D15</f>
        <v>97700.810000000056</v>
      </c>
      <c r="F18" s="384">
        <v>0</v>
      </c>
      <c r="G18" s="385">
        <f t="shared" si="8"/>
        <v>1916357.81</v>
      </c>
      <c r="H18" s="384">
        <f>+'2013 Svcs &amp; Admin Allocation'!J18</f>
        <v>2053787</v>
      </c>
      <c r="I18" s="384">
        <f>+'2012 CF OAA'!E15</f>
        <v>0</v>
      </c>
      <c r="J18" s="384">
        <v>0</v>
      </c>
      <c r="K18" s="385">
        <f t="shared" si="5"/>
        <v>2053787</v>
      </c>
      <c r="L18" s="384">
        <f>+'2013 Svcs &amp; Admin Allocation'!M18</f>
        <v>1079682</v>
      </c>
      <c r="M18" s="384">
        <f>+'2012 CF OAA'!F15</f>
        <v>0</v>
      </c>
      <c r="N18" s="384">
        <v>0</v>
      </c>
      <c r="O18" s="385">
        <f t="shared" si="6"/>
        <v>1079682</v>
      </c>
      <c r="P18" s="384">
        <f>+'2013 Svcs &amp; Admin Allocation'!P18</f>
        <v>698886</v>
      </c>
      <c r="Q18" s="384">
        <f>+'2012 CF OAA'!G15</f>
        <v>8463.4200000000419</v>
      </c>
      <c r="R18" s="384">
        <v>0</v>
      </c>
      <c r="S18" s="385">
        <f t="shared" si="7"/>
        <v>707349.42</v>
      </c>
      <c r="T18" s="384">
        <f>+'2013 Svcs &amp; Admin Allocation'!Q18</f>
        <v>629889.84000000008</v>
      </c>
      <c r="U18" s="384">
        <f>+'2012 CF OAA'!C15</f>
        <v>188898.34999999998</v>
      </c>
      <c r="V18" s="384">
        <v>0</v>
      </c>
      <c r="W18" s="386">
        <f t="shared" si="9"/>
        <v>818788.19000000006</v>
      </c>
      <c r="X18" s="386">
        <f>+'2013 Svcs &amp; Admin Allocation'!R18</f>
        <v>28543</v>
      </c>
      <c r="Y18" s="387">
        <f t="shared" si="10"/>
        <v>6604507.4200000009</v>
      </c>
      <c r="Z18" s="388">
        <v>9223415</v>
      </c>
      <c r="AA18" s="388">
        <f t="shared" si="1"/>
        <v>-2618907.5799999991</v>
      </c>
      <c r="AB18" s="388">
        <f t="shared" si="2"/>
        <v>-0.28394120615845642</v>
      </c>
      <c r="AC18" s="480">
        <f t="shared" si="3"/>
        <v>5757176.2300000004</v>
      </c>
      <c r="AD18" s="318"/>
    </row>
    <row r="19" spans="2:30" ht="24" customHeight="1">
      <c r="B19" s="458"/>
      <c r="C19" s="319">
        <v>8</v>
      </c>
      <c r="D19" s="384">
        <f>+'2013 Svcs &amp; Admin Allocation'!G19</f>
        <v>1867338</v>
      </c>
      <c r="E19" s="384">
        <f>+'2012 CF OAA'!D16</f>
        <v>206589.04999999981</v>
      </c>
      <c r="F19" s="384">
        <v>0</v>
      </c>
      <c r="G19" s="385">
        <f t="shared" si="8"/>
        <v>2073927.0499999998</v>
      </c>
      <c r="H19" s="384">
        <f>+'2013 Svcs &amp; Admin Allocation'!J19</f>
        <v>2092466</v>
      </c>
      <c r="I19" s="384">
        <f>+'2012 CF OAA'!E16</f>
        <v>0</v>
      </c>
      <c r="J19" s="384">
        <v>0</v>
      </c>
      <c r="K19" s="385">
        <f t="shared" si="5"/>
        <v>2092466</v>
      </c>
      <c r="L19" s="384">
        <f>+'2013 Svcs &amp; Admin Allocation'!M19</f>
        <v>1100168</v>
      </c>
      <c r="M19" s="384">
        <f>+'2012 CF OAA'!F16</f>
        <v>0</v>
      </c>
      <c r="N19" s="384">
        <v>0</v>
      </c>
      <c r="O19" s="385">
        <f t="shared" si="6"/>
        <v>1100168</v>
      </c>
      <c r="P19" s="384">
        <f>+'2013 Svcs &amp; Admin Allocation'!P19</f>
        <v>717594</v>
      </c>
      <c r="Q19" s="384">
        <f>+'2012 CF OAA'!G16</f>
        <v>0</v>
      </c>
      <c r="R19" s="384">
        <v>0</v>
      </c>
      <c r="S19" s="385">
        <f t="shared" si="7"/>
        <v>717594</v>
      </c>
      <c r="T19" s="384">
        <f>+'2013 Svcs &amp; Admin Allocation'!Q19</f>
        <v>710093.62000000011</v>
      </c>
      <c r="U19" s="384">
        <f>+'2012 CF OAA'!C16</f>
        <v>0</v>
      </c>
      <c r="V19" s="384">
        <v>0</v>
      </c>
      <c r="W19" s="386">
        <f t="shared" si="9"/>
        <v>710093.62000000011</v>
      </c>
      <c r="X19" s="386">
        <f>+'2013 Svcs &amp; Admin Allocation'!R19</f>
        <v>32177</v>
      </c>
      <c r="Y19" s="387">
        <f t="shared" si="10"/>
        <v>6726425.6699999999</v>
      </c>
      <c r="Z19" s="388">
        <v>7195652</v>
      </c>
      <c r="AA19" s="388">
        <f t="shared" si="1"/>
        <v>-469226.33000000007</v>
      </c>
      <c r="AB19" s="388">
        <f t="shared" si="2"/>
        <v>-6.5209703026216398E-2</v>
      </c>
      <c r="AC19" s="480">
        <f t="shared" si="3"/>
        <v>5984155.0499999998</v>
      </c>
      <c r="AD19" s="318"/>
    </row>
    <row r="20" spans="2:30" ht="24" customHeight="1">
      <c r="B20" s="458"/>
      <c r="C20" s="319">
        <v>9</v>
      </c>
      <c r="D20" s="384">
        <f>+'2013 Svcs &amp; Admin Allocation'!G20</f>
        <v>2243429</v>
      </c>
      <c r="E20" s="384">
        <f>+'2012 CF OAA'!D17</f>
        <v>0</v>
      </c>
      <c r="F20" s="384">
        <v>0</v>
      </c>
      <c r="G20" s="385">
        <f t="shared" si="8"/>
        <v>2243429</v>
      </c>
      <c r="H20" s="384">
        <f>+'2013 Svcs &amp; Admin Allocation'!J20</f>
        <v>2502029</v>
      </c>
      <c r="I20" s="384">
        <f>+'2012 CF OAA'!E17</f>
        <v>35160.830000000075</v>
      </c>
      <c r="J20" s="384">
        <v>0</v>
      </c>
      <c r="K20" s="385">
        <f t="shared" si="5"/>
        <v>2537189.83</v>
      </c>
      <c r="L20" s="384">
        <f>+'2013 Svcs &amp; Admin Allocation'!M20</f>
        <v>1315619</v>
      </c>
      <c r="M20" s="384">
        <f>+'2012 CF OAA'!F17</f>
        <v>27197.850000000093</v>
      </c>
      <c r="N20" s="384">
        <v>0</v>
      </c>
      <c r="O20" s="385">
        <f t="shared" si="6"/>
        <v>1342816.85</v>
      </c>
      <c r="P20" s="384">
        <f>+'2013 Svcs &amp; Admin Allocation'!P20</f>
        <v>862121</v>
      </c>
      <c r="Q20" s="384">
        <f>+'2012 CF OAA'!G17</f>
        <v>0</v>
      </c>
      <c r="R20" s="384">
        <v>0</v>
      </c>
      <c r="S20" s="385">
        <f t="shared" si="7"/>
        <v>862121</v>
      </c>
      <c r="T20" s="384">
        <f>+'2013 Svcs &amp; Admin Allocation'!Q20</f>
        <v>767862.8600000001</v>
      </c>
      <c r="U20" s="384">
        <f>+'2012 CF OAA'!C17</f>
        <v>0</v>
      </c>
      <c r="V20" s="384">
        <v>0</v>
      </c>
      <c r="W20" s="386">
        <f t="shared" si="9"/>
        <v>767862.8600000001</v>
      </c>
      <c r="X20" s="386">
        <f>+'2013 Svcs &amp; Admin Allocation'!R20</f>
        <v>34795</v>
      </c>
      <c r="Y20" s="387">
        <f t="shared" si="10"/>
        <v>7788214.54</v>
      </c>
      <c r="Z20" s="388">
        <v>8475731</v>
      </c>
      <c r="AA20" s="388">
        <f t="shared" si="1"/>
        <v>-687516.46</v>
      </c>
      <c r="AB20" s="388">
        <f t="shared" si="2"/>
        <v>-8.1115889591116083E-2</v>
      </c>
      <c r="AC20" s="480">
        <f t="shared" si="3"/>
        <v>6985556.6799999997</v>
      </c>
      <c r="AD20" s="318"/>
    </row>
    <row r="21" spans="2:30" ht="24" customHeight="1">
      <c r="B21" s="458"/>
      <c r="C21" s="319">
        <v>10</v>
      </c>
      <c r="D21" s="384">
        <f>+'2013 Svcs &amp; Admin Allocation'!G21</f>
        <v>1853382</v>
      </c>
      <c r="E21" s="384">
        <f>+'2012 CF OAA'!D18</f>
        <v>262625.04000000004</v>
      </c>
      <c r="F21" s="384">
        <v>0</v>
      </c>
      <c r="G21" s="385">
        <f t="shared" si="8"/>
        <v>2116007.04</v>
      </c>
      <c r="H21" s="384">
        <f>+'2013 Svcs &amp; Admin Allocation'!J21</f>
        <v>2071216</v>
      </c>
      <c r="I21" s="384">
        <f>+'2012 CF OAA'!E18</f>
        <v>313433</v>
      </c>
      <c r="J21" s="384">
        <v>0</v>
      </c>
      <c r="K21" s="385">
        <f t="shared" si="5"/>
        <v>2384649</v>
      </c>
      <c r="L21" s="384">
        <f>+'2013 Svcs &amp; Admin Allocation'!M21</f>
        <v>1089048</v>
      </c>
      <c r="M21" s="384">
        <f>+'2012 CF OAA'!F18</f>
        <v>80038.100000000093</v>
      </c>
      <c r="N21" s="384">
        <v>0</v>
      </c>
      <c r="O21" s="385">
        <f t="shared" si="6"/>
        <v>1169086.1000000001</v>
      </c>
      <c r="P21" s="384">
        <f>+'2013 Svcs &amp; Admin Allocation'!P21</f>
        <v>712230</v>
      </c>
      <c r="Q21" s="384">
        <f>+'2012 CF OAA'!G18</f>
        <v>171095.70999999996</v>
      </c>
      <c r="R21" s="384">
        <v>0</v>
      </c>
      <c r="S21" s="385">
        <f t="shared" si="7"/>
        <v>883325.71</v>
      </c>
      <c r="T21" s="384">
        <f>+'2013 Svcs &amp; Admin Allocation'!Q21</f>
        <v>614755.32000000007</v>
      </c>
      <c r="U21" s="384">
        <f>+'2012 CF OAA'!C18</f>
        <v>154305.74000000005</v>
      </c>
      <c r="V21" s="384">
        <v>0</v>
      </c>
      <c r="W21" s="386">
        <f t="shared" si="9"/>
        <v>769061.06</v>
      </c>
      <c r="X21" s="386">
        <f>+'2013 Svcs &amp; Admin Allocation'!R21</f>
        <v>27857</v>
      </c>
      <c r="Y21" s="387">
        <f t="shared" si="10"/>
        <v>7349985.9100000001</v>
      </c>
      <c r="Z21" s="388">
        <v>6951142</v>
      </c>
      <c r="AA21" s="388">
        <f t="shared" si="1"/>
        <v>398843.91000000015</v>
      </c>
      <c r="AB21" s="388">
        <f t="shared" si="2"/>
        <v>5.7378184764460306E-2</v>
      </c>
      <c r="AC21" s="480">
        <f t="shared" si="3"/>
        <v>6553067.8500000006</v>
      </c>
      <c r="AD21" s="318"/>
    </row>
    <row r="22" spans="2:30" ht="24" customHeight="1">
      <c r="B22" s="458"/>
      <c r="C22" s="319">
        <v>11</v>
      </c>
      <c r="D22" s="384">
        <f>+'2013 Svcs &amp; Admin Allocation'!G22</f>
        <v>4279664</v>
      </c>
      <c r="E22" s="384">
        <f>+'2012 CF OAA'!D19</f>
        <v>14564.259999999776</v>
      </c>
      <c r="F22" s="384">
        <v>0</v>
      </c>
      <c r="G22" s="385">
        <f t="shared" si="8"/>
        <v>4294228.26</v>
      </c>
      <c r="H22" s="384">
        <f>+'2013 Svcs &amp; Admin Allocation'!J22</f>
        <v>4783457</v>
      </c>
      <c r="I22" s="384">
        <f>+'2012 CF OAA'!E19</f>
        <v>59907.740000000224</v>
      </c>
      <c r="J22" s="384">
        <v>0</v>
      </c>
      <c r="K22" s="385">
        <f t="shared" si="5"/>
        <v>4843364.74</v>
      </c>
      <c r="L22" s="384">
        <f>+'2013 Svcs &amp; Admin Allocation'!M22</f>
        <v>2515139</v>
      </c>
      <c r="M22" s="384">
        <f>+'2012 CF OAA'!F19</f>
        <v>6627.5200000000186</v>
      </c>
      <c r="N22" s="384">
        <v>0</v>
      </c>
      <c r="O22" s="385">
        <f t="shared" si="6"/>
        <v>2521766.52</v>
      </c>
      <c r="P22" s="384">
        <f>+'2013 Svcs &amp; Admin Allocation'!P22</f>
        <v>1644619</v>
      </c>
      <c r="Q22" s="384">
        <f>+'2012 CF OAA'!G19</f>
        <v>135237.04000000004</v>
      </c>
      <c r="R22" s="384">
        <v>0</v>
      </c>
      <c r="S22" s="385">
        <f t="shared" si="7"/>
        <v>1779856.04</v>
      </c>
      <c r="T22" s="384">
        <f>+'2013 Svcs &amp; Admin Allocation'!Q22</f>
        <v>1187806.5300000003</v>
      </c>
      <c r="U22" s="384">
        <f>+'2012 CF OAA'!C19</f>
        <v>0</v>
      </c>
      <c r="V22" s="384">
        <v>0</v>
      </c>
      <c r="W22" s="386">
        <f t="shared" si="9"/>
        <v>1187806.5300000003</v>
      </c>
      <c r="X22" s="386">
        <f>+'2013 Svcs &amp; Admin Allocation'!R22</f>
        <v>53825</v>
      </c>
      <c r="Y22" s="387">
        <f t="shared" si="10"/>
        <v>14680847.09</v>
      </c>
      <c r="Z22" s="388">
        <v>15733927</v>
      </c>
      <c r="AA22" s="388">
        <f t="shared" si="1"/>
        <v>-1053079.9100000001</v>
      </c>
      <c r="AB22" s="388">
        <f t="shared" si="2"/>
        <v>-6.693051963441804E-2</v>
      </c>
      <c r="AC22" s="480">
        <f t="shared" si="3"/>
        <v>13439215.559999999</v>
      </c>
      <c r="AD22" s="318"/>
    </row>
    <row r="23" spans="2:30" s="312" customFormat="1" ht="27" customHeight="1">
      <c r="B23" s="469"/>
      <c r="C23" s="470" t="s">
        <v>1</v>
      </c>
      <c r="D23" s="471">
        <f t="shared" ref="D23:R23" si="11">SUM(D12:D22)</f>
        <v>21892941</v>
      </c>
      <c r="E23" s="471">
        <f t="shared" si="11"/>
        <v>1012982.1099999996</v>
      </c>
      <c r="F23" s="471">
        <f t="shared" si="11"/>
        <v>0</v>
      </c>
      <c r="G23" s="481">
        <f t="shared" si="11"/>
        <v>22905923.109999999</v>
      </c>
      <c r="H23" s="471">
        <f t="shared" si="11"/>
        <v>24370114</v>
      </c>
      <c r="I23" s="471">
        <f t="shared" si="11"/>
        <v>524180.16000000038</v>
      </c>
      <c r="J23" s="471">
        <f t="shared" si="11"/>
        <v>0</v>
      </c>
      <c r="K23" s="481">
        <f t="shared" si="11"/>
        <v>24894294.160000004</v>
      </c>
      <c r="L23" s="471">
        <f t="shared" si="11"/>
        <v>12814753</v>
      </c>
      <c r="M23" s="471">
        <f t="shared" si="11"/>
        <v>154182.8899999999</v>
      </c>
      <c r="N23" s="471">
        <f t="shared" si="11"/>
        <v>0</v>
      </c>
      <c r="O23" s="481">
        <f t="shared" si="11"/>
        <v>12968935.889999999</v>
      </c>
      <c r="P23" s="471">
        <f t="shared" si="11"/>
        <v>8413176</v>
      </c>
      <c r="Q23" s="471">
        <f t="shared" si="11"/>
        <v>515678.52999999991</v>
      </c>
      <c r="R23" s="471">
        <f t="shared" si="11"/>
        <v>0</v>
      </c>
      <c r="S23" s="481">
        <f t="shared" ref="S23:AC23" si="12">SUM(S12:S22)</f>
        <v>8928854.5300000012</v>
      </c>
      <c r="T23" s="471">
        <f t="shared" si="12"/>
        <v>7657574.0000000009</v>
      </c>
      <c r="U23" s="471">
        <f t="shared" si="12"/>
        <v>684445.17999999993</v>
      </c>
      <c r="V23" s="471">
        <f t="shared" si="12"/>
        <v>27.89</v>
      </c>
      <c r="W23" s="482">
        <f t="shared" si="12"/>
        <v>8342047.0700000012</v>
      </c>
      <c r="X23" s="482">
        <f t="shared" si="12"/>
        <v>346998</v>
      </c>
      <c r="Y23" s="483">
        <f t="shared" si="12"/>
        <v>78387052.760000005</v>
      </c>
      <c r="Z23" s="484">
        <f t="shared" si="12"/>
        <v>85088308</v>
      </c>
      <c r="AA23" s="484">
        <f t="shared" si="12"/>
        <v>-6701255.2400000002</v>
      </c>
      <c r="AB23" s="484">
        <f t="shared" si="12"/>
        <v>-0.78379019978601217</v>
      </c>
      <c r="AC23" s="485">
        <f t="shared" si="12"/>
        <v>69698007.689999998</v>
      </c>
    </row>
    <row r="24" spans="2:30">
      <c r="B24" s="313"/>
      <c r="C24" s="313"/>
      <c r="D24" s="321"/>
      <c r="E24" s="321"/>
      <c r="F24" s="321"/>
      <c r="G24" s="321"/>
      <c r="H24" s="313"/>
      <c r="I24" s="321"/>
      <c r="J24" s="321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21"/>
      <c r="Z24" s="313"/>
      <c r="AA24" s="304"/>
      <c r="AB24" s="304"/>
      <c r="AC24" s="313"/>
    </row>
    <row r="25" spans="2:30">
      <c r="B25" s="313"/>
      <c r="C25" s="313"/>
      <c r="D25" s="321"/>
      <c r="E25" s="321"/>
      <c r="F25" s="321"/>
      <c r="G25" s="321"/>
      <c r="H25" s="313"/>
      <c r="I25" s="321"/>
      <c r="J25" s="321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21"/>
      <c r="Z25" s="313"/>
      <c r="AA25" s="304"/>
      <c r="AB25" s="304"/>
      <c r="AC25" s="313"/>
    </row>
    <row r="26" spans="2:30" s="305" customFormat="1" ht="7.5" customHeight="1">
      <c r="B26" s="460"/>
      <c r="C26" s="461"/>
      <c r="D26" s="462"/>
      <c r="E26" s="463"/>
      <c r="F26" s="463"/>
      <c r="G26" s="464"/>
    </row>
    <row r="27" spans="2:30" s="312" customFormat="1">
      <c r="B27" s="456"/>
      <c r="C27" s="306"/>
      <c r="D27" s="307">
        <v>2013</v>
      </c>
      <c r="E27" s="307">
        <v>2012</v>
      </c>
      <c r="F27" s="307">
        <v>2011</v>
      </c>
      <c r="G27" s="465" t="s">
        <v>1</v>
      </c>
    </row>
    <row r="28" spans="2:30">
      <c r="B28" s="455"/>
      <c r="C28" s="304"/>
      <c r="D28" s="307" t="s">
        <v>265</v>
      </c>
      <c r="E28" s="314" t="s">
        <v>263</v>
      </c>
      <c r="F28" s="314" t="s">
        <v>263</v>
      </c>
      <c r="G28" s="465" t="s">
        <v>265</v>
      </c>
    </row>
    <row r="29" spans="2:30">
      <c r="B29" s="455"/>
      <c r="C29" s="304" t="s">
        <v>5</v>
      </c>
      <c r="D29" s="307" t="s">
        <v>266</v>
      </c>
      <c r="E29" s="307" t="s">
        <v>264</v>
      </c>
      <c r="F29" s="307" t="s">
        <v>264</v>
      </c>
      <c r="G29" s="465" t="s">
        <v>266</v>
      </c>
    </row>
    <row r="30" spans="2:30">
      <c r="B30" s="455"/>
      <c r="C30" s="304"/>
      <c r="D30" s="307" t="s">
        <v>267</v>
      </c>
      <c r="E30" s="466"/>
      <c r="F30" s="307"/>
      <c r="G30" s="465" t="s">
        <v>267</v>
      </c>
    </row>
    <row r="31" spans="2:30" ht="7.5" customHeight="1" thickBot="1">
      <c r="B31" s="455"/>
      <c r="C31" s="304"/>
      <c r="D31" s="315"/>
      <c r="E31" s="315"/>
      <c r="F31" s="315"/>
      <c r="G31" s="465"/>
    </row>
    <row r="32" spans="2:30" ht="24" customHeight="1">
      <c r="B32" s="457"/>
      <c r="C32" s="317">
        <v>1</v>
      </c>
      <c r="D32" s="379">
        <f>+'2013 Title III-D Allocation'!G8</f>
        <v>84344</v>
      </c>
      <c r="E32" s="379">
        <f>+'2012 CF IIID'!E9</f>
        <v>0</v>
      </c>
      <c r="F32" s="379">
        <v>0</v>
      </c>
      <c r="G32" s="467">
        <f>SUM(D32:F32)</f>
        <v>84344</v>
      </c>
    </row>
    <row r="33" spans="2:29" ht="24" customHeight="1">
      <c r="B33" s="458"/>
      <c r="C33" s="319">
        <v>2</v>
      </c>
      <c r="D33" s="384">
        <f>+'2013 Title III-D Allocation'!G9</f>
        <v>73708</v>
      </c>
      <c r="E33" s="384">
        <f>+'2012 CF IIID'!E10</f>
        <v>51218.380000000005</v>
      </c>
      <c r="F33" s="384">
        <v>0</v>
      </c>
      <c r="G33" s="468">
        <f t="shared" ref="G33:G42" si="13">SUM(D33:F33)</f>
        <v>124926.38</v>
      </c>
    </row>
    <row r="34" spans="2:29" ht="24" customHeight="1">
      <c r="B34" s="458"/>
      <c r="C34" s="319">
        <v>3</v>
      </c>
      <c r="D34" s="384">
        <f>+'2013 Title III-D Allocation'!G10</f>
        <v>232300</v>
      </c>
      <c r="E34" s="384">
        <f>+'2012 CF IIID'!E11</f>
        <v>23.480000000010477</v>
      </c>
      <c r="F34" s="384">
        <v>0</v>
      </c>
      <c r="G34" s="468">
        <f t="shared" si="13"/>
        <v>232323.48</v>
      </c>
    </row>
    <row r="35" spans="2:29" ht="24" customHeight="1">
      <c r="B35" s="458"/>
      <c r="C35" s="319">
        <v>4</v>
      </c>
      <c r="D35" s="384">
        <f>+'2013 Title III-D Allocation'!G11</f>
        <v>113641</v>
      </c>
      <c r="E35" s="384">
        <f>+'2012 CF IIID'!E12</f>
        <v>0</v>
      </c>
      <c r="F35" s="384">
        <v>0</v>
      </c>
      <c r="G35" s="468">
        <f t="shared" si="13"/>
        <v>113641</v>
      </c>
    </row>
    <row r="36" spans="2:29" ht="24" customHeight="1">
      <c r="B36" s="458"/>
      <c r="C36" s="319">
        <v>5</v>
      </c>
      <c r="D36" s="384">
        <f>+'2013 Title III-D Allocation'!G12</f>
        <v>130344</v>
      </c>
      <c r="E36" s="384">
        <f>+'2012 CF IIID'!E13</f>
        <v>0</v>
      </c>
      <c r="F36" s="384">
        <v>0</v>
      </c>
      <c r="G36" s="468">
        <f t="shared" si="13"/>
        <v>130344</v>
      </c>
    </row>
    <row r="37" spans="2:29" ht="24" customHeight="1">
      <c r="B37" s="458"/>
      <c r="C37" s="319">
        <v>6</v>
      </c>
      <c r="D37" s="384">
        <f>+'2013 Title III-D Allocation'!G13</f>
        <v>123855</v>
      </c>
      <c r="E37" s="384">
        <f>+'2012 CF IIID'!E14</f>
        <v>119.72999999999593</v>
      </c>
      <c r="F37" s="384">
        <v>0</v>
      </c>
      <c r="G37" s="468">
        <f t="shared" si="13"/>
        <v>123974.73</v>
      </c>
    </row>
    <row r="38" spans="2:29" ht="24" customHeight="1">
      <c r="B38" s="459"/>
      <c r="C38" s="320">
        <v>7</v>
      </c>
      <c r="D38" s="384">
        <f>+'2013 Title III-D Allocation'!G14</f>
        <v>172992</v>
      </c>
      <c r="E38" s="384">
        <f>+'2012 CF IIID'!E15</f>
        <v>17460.920000000013</v>
      </c>
      <c r="F38" s="384">
        <v>0</v>
      </c>
      <c r="G38" s="468">
        <f t="shared" si="13"/>
        <v>190452.92</v>
      </c>
    </row>
    <row r="39" spans="2:29" ht="24" customHeight="1">
      <c r="B39" s="458"/>
      <c r="C39" s="319">
        <v>8</v>
      </c>
      <c r="D39" s="384">
        <f>+'2013 Title III-D Allocation'!G15</f>
        <v>79537</v>
      </c>
      <c r="E39" s="384">
        <f>+'2012 CF IIID'!E16</f>
        <v>0</v>
      </c>
      <c r="F39" s="384">
        <v>0</v>
      </c>
      <c r="G39" s="468">
        <f t="shared" si="13"/>
        <v>79537</v>
      </c>
    </row>
    <row r="40" spans="2:29" ht="24" customHeight="1">
      <c r="B40" s="458"/>
      <c r="C40" s="319">
        <v>9</v>
      </c>
      <c r="D40" s="384">
        <f>+'2013 Title III-D Allocation'!G16</f>
        <v>92629</v>
      </c>
      <c r="E40" s="384">
        <f>+'2012 CF IIID'!E17</f>
        <v>6159.1999999999971</v>
      </c>
      <c r="F40" s="384">
        <v>400</v>
      </c>
      <c r="G40" s="468">
        <f t="shared" si="13"/>
        <v>99188.2</v>
      </c>
    </row>
    <row r="41" spans="2:29" ht="24" customHeight="1">
      <c r="B41" s="458"/>
      <c r="C41" s="319">
        <v>10</v>
      </c>
      <c r="D41" s="384">
        <f>+'2013 Title III-D Allocation'!G17</f>
        <v>107290</v>
      </c>
      <c r="E41" s="384">
        <f>+'2012 CF IIID'!E18</f>
        <v>13245.969999999987</v>
      </c>
      <c r="F41" s="384">
        <v>0</v>
      </c>
      <c r="G41" s="468">
        <f t="shared" si="13"/>
        <v>120535.96999999999</v>
      </c>
    </row>
    <row r="42" spans="2:29" ht="24" customHeight="1">
      <c r="B42" s="458"/>
      <c r="C42" s="319">
        <v>11</v>
      </c>
      <c r="D42" s="384">
        <f>+'2013 Title III-D Allocation'!G18</f>
        <v>216544</v>
      </c>
      <c r="E42" s="384">
        <f>+'2012 CF IIID'!E19</f>
        <v>42417.959999999992</v>
      </c>
      <c r="F42" s="384">
        <v>0</v>
      </c>
      <c r="G42" s="468">
        <f t="shared" si="13"/>
        <v>258961.96</v>
      </c>
    </row>
    <row r="43" spans="2:29" s="312" customFormat="1" ht="27" customHeight="1">
      <c r="B43" s="469"/>
      <c r="C43" s="470" t="s">
        <v>1</v>
      </c>
      <c r="D43" s="471">
        <f>SUM(D32:D42)</f>
        <v>1427184</v>
      </c>
      <c r="E43" s="471">
        <f>SUM(E32:E42)</f>
        <v>130645.64</v>
      </c>
      <c r="F43" s="471">
        <f>SUM(F32:F42)</f>
        <v>400</v>
      </c>
      <c r="G43" s="472">
        <f>SUM(G32:G42)</f>
        <v>1558229.64</v>
      </c>
    </row>
    <row r="44" spans="2:29" s="312" customFormat="1" ht="27" customHeight="1">
      <c r="B44" s="306"/>
      <c r="C44" s="306"/>
      <c r="D44" s="322"/>
      <c r="E44" s="322"/>
      <c r="F44" s="322"/>
      <c r="G44" s="301"/>
    </row>
    <row r="45" spans="2:29">
      <c r="B45" s="313"/>
      <c r="C45" s="323" t="s">
        <v>143</v>
      </c>
      <c r="D45" s="321"/>
      <c r="E45" s="321"/>
      <c r="F45" s="321"/>
      <c r="G45" s="324"/>
      <c r="H45" s="313"/>
      <c r="I45" s="321"/>
      <c r="J45" s="321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21"/>
      <c r="Z45" s="313"/>
      <c r="AA45" s="304"/>
      <c r="AB45" s="304"/>
      <c r="AC45" s="313"/>
    </row>
    <row r="46" spans="2:29">
      <c r="B46" s="313"/>
      <c r="C46" s="323"/>
      <c r="D46" s="321"/>
      <c r="E46" s="321"/>
      <c r="F46" s="321"/>
      <c r="G46" s="324"/>
      <c r="H46" s="313"/>
      <c r="I46" s="321"/>
      <c r="J46" s="321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21"/>
      <c r="Z46" s="313"/>
      <c r="AA46" s="304"/>
      <c r="AB46" s="304"/>
      <c r="AC46" s="313"/>
    </row>
    <row r="47" spans="2:29">
      <c r="C47" s="312" t="s">
        <v>309</v>
      </c>
      <c r="D47" s="312"/>
      <c r="E47" s="312">
        <v>2012</v>
      </c>
      <c r="F47" s="312">
        <v>2011</v>
      </c>
      <c r="G47" s="325" t="s">
        <v>1</v>
      </c>
    </row>
    <row r="48" spans="2:29">
      <c r="C48" s="326" t="s">
        <v>306</v>
      </c>
      <c r="E48" s="88">
        <f>+E23+I23+M23+Q23+U23</f>
        <v>2891468.87</v>
      </c>
      <c r="F48" s="88">
        <f>+F23+J23+N23+R23+V23</f>
        <v>27.89</v>
      </c>
      <c r="G48" s="88">
        <f>SUM(E48:F48)</f>
        <v>2891496.7600000002</v>
      </c>
    </row>
    <row r="49" spans="3:7">
      <c r="C49" s="326" t="s">
        <v>307</v>
      </c>
      <c r="E49" s="89">
        <f>+E43</f>
        <v>130645.64</v>
      </c>
      <c r="F49" s="89">
        <f>+F43</f>
        <v>400</v>
      </c>
      <c r="G49" s="89">
        <f>SUM(E49:F49)</f>
        <v>131045.64</v>
      </c>
    </row>
    <row r="50" spans="3:7">
      <c r="C50" s="312" t="s">
        <v>308</v>
      </c>
      <c r="D50" s="312"/>
      <c r="E50" s="389">
        <f>SUM(E48:E49)</f>
        <v>3022114.5100000002</v>
      </c>
      <c r="F50" s="389">
        <f>SUM(F48:F49)</f>
        <v>427.89</v>
      </c>
      <c r="G50" s="389">
        <f>SUM(G48:G49)</f>
        <v>3022542.4000000004</v>
      </c>
    </row>
    <row r="53" spans="3:7">
      <c r="C53" s="312" t="s">
        <v>327</v>
      </c>
      <c r="D53" s="312"/>
      <c r="E53" s="420" t="s">
        <v>333</v>
      </c>
      <c r="F53" s="420" t="s">
        <v>184</v>
      </c>
      <c r="G53" s="420" t="s">
        <v>32</v>
      </c>
    </row>
    <row r="54" spans="3:7">
      <c r="C54" s="301" t="s">
        <v>328</v>
      </c>
      <c r="E54" s="417">
        <f>+'2013 Svcs &amp; Admin Allocation'!G23</f>
        <v>21892941</v>
      </c>
      <c r="F54" s="417">
        <f>+D23</f>
        <v>21892941</v>
      </c>
      <c r="G54" s="417">
        <f>+E54-F54</f>
        <v>0</v>
      </c>
    </row>
    <row r="55" spans="3:7">
      <c r="C55" s="301" t="s">
        <v>329</v>
      </c>
      <c r="E55" s="417">
        <f>+'2013 Svcs &amp; Admin Allocation'!J23</f>
        <v>24370114</v>
      </c>
      <c r="F55" s="417">
        <f>+H23</f>
        <v>24370114</v>
      </c>
      <c r="G55" s="417">
        <f t="shared" ref="G55:G60" si="14">+E55-F55</f>
        <v>0</v>
      </c>
    </row>
    <row r="56" spans="3:7">
      <c r="C56" s="301" t="s">
        <v>330</v>
      </c>
      <c r="E56" s="417">
        <f>+'2013 Svcs &amp; Admin Allocation'!M23</f>
        <v>12814753</v>
      </c>
      <c r="F56" s="417">
        <f>+L23</f>
        <v>12814753</v>
      </c>
      <c r="G56" s="417">
        <f t="shared" si="14"/>
        <v>0</v>
      </c>
    </row>
    <row r="57" spans="3:7">
      <c r="C57" s="301" t="s">
        <v>307</v>
      </c>
      <c r="E57" s="417">
        <f>+'2013 Title III-D Allocation'!G19</f>
        <v>1427184</v>
      </c>
      <c r="F57" s="417">
        <f>+D43</f>
        <v>1427184</v>
      </c>
      <c r="G57" s="417">
        <f t="shared" si="14"/>
        <v>0</v>
      </c>
    </row>
    <row r="58" spans="3:7">
      <c r="C58" s="301" t="s">
        <v>331</v>
      </c>
      <c r="E58" s="417">
        <f>+'2013 Svcs &amp; Admin Allocation'!P23</f>
        <v>8413176</v>
      </c>
      <c r="F58" s="417">
        <f>+P23</f>
        <v>8413176</v>
      </c>
      <c r="G58" s="417">
        <f t="shared" si="14"/>
        <v>0</v>
      </c>
    </row>
    <row r="59" spans="3:7">
      <c r="C59" s="301" t="s">
        <v>316</v>
      </c>
      <c r="E59" s="417">
        <f>+'2013 Svcs &amp; Admin Allocation'!Q23</f>
        <v>7657574.0000000009</v>
      </c>
      <c r="F59" s="417">
        <f>+T23</f>
        <v>7657574.0000000009</v>
      </c>
      <c r="G59" s="417">
        <f t="shared" si="14"/>
        <v>0</v>
      </c>
    </row>
    <row r="60" spans="3:7">
      <c r="C60" s="301" t="s">
        <v>332</v>
      </c>
      <c r="E60" s="418">
        <f>+'2013 Svcs &amp; Admin Allocation'!R23</f>
        <v>346998</v>
      </c>
      <c r="F60" s="418">
        <f>+X23</f>
        <v>346998</v>
      </c>
      <c r="G60" s="418">
        <f t="shared" si="14"/>
        <v>0</v>
      </c>
    </row>
    <row r="61" spans="3:7">
      <c r="C61" s="312" t="s">
        <v>1</v>
      </c>
      <c r="D61" s="312"/>
      <c r="E61" s="419">
        <f>SUM(E54:E60)</f>
        <v>76922740</v>
      </c>
      <c r="F61" s="419">
        <f t="shared" ref="F61:G61" si="15">SUM(F54:F60)</f>
        <v>76922740</v>
      </c>
      <c r="G61" s="419">
        <f t="shared" si="15"/>
        <v>0</v>
      </c>
    </row>
  </sheetData>
  <pageMargins left="0.5" right="0.5" top="0.75" bottom="0.75" header="0.5" footer="0.5"/>
  <pageSetup scale="34" orientation="landscape" r:id="rId1"/>
  <headerFooter alignWithMargins="0">
    <oddFooter>&amp;L&amp;"-,Regular"&amp;9&amp;Z&amp;F&amp;C&amp;"-,Regular"&amp;9&amp;A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CH91"/>
  <sheetViews>
    <sheetView workbookViewId="0">
      <pane ySplit="3" topLeftCell="A4" activePane="bottomLeft" state="frozen"/>
      <selection activeCell="A4" sqref="A4:M4"/>
      <selection pane="bottomLeft" activeCell="A4" sqref="A4"/>
    </sheetView>
  </sheetViews>
  <sheetFormatPr defaultRowHeight="14.25"/>
  <cols>
    <col min="1" max="1" width="7.44140625" style="2" customWidth="1"/>
    <col min="2" max="2" width="10.21875" style="2" customWidth="1"/>
    <col min="3" max="3" width="8.6640625" style="2" bestFit="1" customWidth="1"/>
    <col min="4" max="5" width="10" style="2" customWidth="1"/>
    <col min="6" max="6" width="11.88671875" style="2" customWidth="1"/>
    <col min="7" max="7" width="2.6640625" style="1" customWidth="1"/>
    <col min="8" max="82" width="8.88671875" style="1"/>
    <col min="83" max="16384" width="8.88671875" style="2"/>
  </cols>
  <sheetData>
    <row r="1" spans="1:86" ht="15">
      <c r="A1" s="499" t="s">
        <v>221</v>
      </c>
      <c r="B1" s="499"/>
      <c r="C1" s="499"/>
      <c r="D1" s="499"/>
      <c r="E1" s="499"/>
      <c r="F1" s="499"/>
    </row>
    <row r="2" spans="1:86" ht="15">
      <c r="A2" s="500" t="s">
        <v>222</v>
      </c>
      <c r="B2" s="500"/>
      <c r="C2" s="500"/>
      <c r="D2" s="500"/>
      <c r="E2" s="500"/>
      <c r="F2" s="500"/>
    </row>
    <row r="3" spans="1:86" s="6" customFormat="1" ht="75">
      <c r="A3" s="111" t="s">
        <v>5</v>
      </c>
      <c r="B3" s="112" t="s">
        <v>48</v>
      </c>
      <c r="C3" s="4" t="s">
        <v>148</v>
      </c>
      <c r="D3" s="3" t="s">
        <v>149</v>
      </c>
      <c r="E3" s="3" t="s">
        <v>150</v>
      </c>
      <c r="F3" s="4" t="s">
        <v>157</v>
      </c>
      <c r="G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</row>
    <row r="4" spans="1:86" ht="15">
      <c r="A4" s="7">
        <v>1</v>
      </c>
      <c r="B4" s="117" t="s">
        <v>51</v>
      </c>
      <c r="C4" s="233">
        <v>64498</v>
      </c>
      <c r="D4" s="233">
        <v>6038</v>
      </c>
      <c r="E4" s="233">
        <v>4264</v>
      </c>
      <c r="F4" s="234">
        <v>10914</v>
      </c>
    </row>
    <row r="5" spans="1:86" ht="15">
      <c r="A5" s="8">
        <v>1</v>
      </c>
      <c r="B5" s="118" t="s">
        <v>52</v>
      </c>
      <c r="C5" s="233">
        <v>37782</v>
      </c>
      <c r="D5" s="233">
        <v>2452</v>
      </c>
      <c r="E5" s="233">
        <v>897</v>
      </c>
      <c r="F5" s="234">
        <v>5551</v>
      </c>
    </row>
    <row r="6" spans="1:86" ht="15">
      <c r="A6" s="8">
        <v>1</v>
      </c>
      <c r="B6" s="118" t="s">
        <v>53</v>
      </c>
      <c r="C6" s="233">
        <v>30977</v>
      </c>
      <c r="D6" s="233">
        <v>2304</v>
      </c>
      <c r="E6" s="233">
        <v>401</v>
      </c>
      <c r="F6" s="234">
        <v>4160</v>
      </c>
    </row>
    <row r="7" spans="1:86" ht="15">
      <c r="A7" s="9">
        <v>1</v>
      </c>
      <c r="B7" s="119" t="s">
        <v>54</v>
      </c>
      <c r="C7" s="233">
        <v>13580</v>
      </c>
      <c r="D7" s="233">
        <v>1232</v>
      </c>
      <c r="E7" s="233">
        <v>365</v>
      </c>
      <c r="F7" s="234">
        <v>1938</v>
      </c>
    </row>
    <row r="8" spans="1:86" ht="15">
      <c r="A8" s="7">
        <v>2</v>
      </c>
      <c r="B8" s="117" t="s">
        <v>55</v>
      </c>
      <c r="C8" s="233">
        <v>36674</v>
      </c>
      <c r="D8" s="233">
        <v>3216</v>
      </c>
      <c r="E8" s="233">
        <v>967</v>
      </c>
      <c r="F8" s="234">
        <v>5722</v>
      </c>
    </row>
    <row r="9" spans="1:86" ht="15.75">
      <c r="A9" s="8">
        <v>2</v>
      </c>
      <c r="B9" s="118" t="s">
        <v>56</v>
      </c>
      <c r="C9" s="233">
        <v>3264</v>
      </c>
      <c r="D9" s="233">
        <v>332</v>
      </c>
      <c r="E9" s="233">
        <v>112</v>
      </c>
      <c r="F9" s="235">
        <v>0</v>
      </c>
    </row>
    <row r="10" spans="1:86" ht="15.75">
      <c r="A10" s="8">
        <v>2</v>
      </c>
      <c r="B10" s="118" t="s">
        <v>57</v>
      </c>
      <c r="C10" s="233">
        <v>2985</v>
      </c>
      <c r="D10" s="233">
        <v>391</v>
      </c>
      <c r="E10" s="233">
        <v>32</v>
      </c>
      <c r="F10" s="235">
        <v>0</v>
      </c>
    </row>
    <row r="11" spans="1:86" ht="15">
      <c r="A11" s="8">
        <v>2</v>
      </c>
      <c r="B11" s="118" t="s">
        <v>58</v>
      </c>
      <c r="C11" s="233">
        <v>10176</v>
      </c>
      <c r="D11" s="233">
        <v>1402</v>
      </c>
      <c r="E11" s="233">
        <v>1654</v>
      </c>
      <c r="F11" s="234">
        <v>1451</v>
      </c>
    </row>
    <row r="12" spans="1:86" ht="15.75">
      <c r="A12" s="8">
        <v>2</v>
      </c>
      <c r="B12" s="118" t="s">
        <v>59</v>
      </c>
      <c r="C12" s="233">
        <v>3839</v>
      </c>
      <c r="D12" s="233">
        <v>435</v>
      </c>
      <c r="E12" s="233">
        <v>120</v>
      </c>
      <c r="F12" s="235">
        <v>0</v>
      </c>
    </row>
    <row r="13" spans="1:86" ht="15.75">
      <c r="A13" s="8">
        <v>2</v>
      </c>
      <c r="B13" s="118" t="s">
        <v>60</v>
      </c>
      <c r="C13" s="233">
        <v>4944</v>
      </c>
      <c r="D13" s="233">
        <v>776</v>
      </c>
      <c r="E13" s="233">
        <v>109</v>
      </c>
      <c r="F13" s="235">
        <v>0</v>
      </c>
    </row>
    <row r="14" spans="1:86" ht="15">
      <c r="A14" s="8">
        <v>2</v>
      </c>
      <c r="B14" s="118" t="s">
        <v>61</v>
      </c>
      <c r="C14" s="233">
        <v>11490</v>
      </c>
      <c r="D14" s="233">
        <v>2619</v>
      </c>
      <c r="E14" s="233">
        <v>980</v>
      </c>
      <c r="F14" s="234">
        <v>2292</v>
      </c>
    </row>
    <row r="15" spans="1:86" s="1" customFormat="1" ht="15.75">
      <c r="A15" s="8">
        <v>2</v>
      </c>
      <c r="B15" s="118" t="s">
        <v>62</v>
      </c>
      <c r="C15" s="233">
        <v>3835</v>
      </c>
      <c r="D15" s="233">
        <v>758</v>
      </c>
      <c r="E15" s="233">
        <v>418</v>
      </c>
      <c r="F15" s="235">
        <v>0</v>
      </c>
      <c r="CE15" s="2"/>
      <c r="CF15" s="2"/>
      <c r="CG15" s="2"/>
      <c r="CH15" s="2"/>
    </row>
    <row r="16" spans="1:86" s="1" customFormat="1" ht="15">
      <c r="A16" s="8">
        <v>2</v>
      </c>
      <c r="B16" s="118" t="s">
        <v>63</v>
      </c>
      <c r="C16" s="233">
        <v>44063</v>
      </c>
      <c r="D16" s="233">
        <v>2922</v>
      </c>
      <c r="E16" s="233">
        <v>2268</v>
      </c>
      <c r="F16" s="234">
        <v>5581</v>
      </c>
      <c r="CE16" s="2"/>
      <c r="CF16" s="2"/>
      <c r="CG16" s="2"/>
      <c r="CH16" s="2"/>
    </row>
    <row r="17" spans="1:86" s="1" customFormat="1" ht="15.75">
      <c r="A17" s="8">
        <v>2</v>
      </c>
      <c r="B17" s="118" t="s">
        <v>64</v>
      </c>
      <c r="C17" s="233">
        <v>1408</v>
      </c>
      <c r="D17" s="233">
        <v>301</v>
      </c>
      <c r="E17" s="233">
        <v>112</v>
      </c>
      <c r="F17" s="235">
        <v>0</v>
      </c>
      <c r="CE17" s="2"/>
      <c r="CF17" s="2"/>
      <c r="CG17" s="2"/>
      <c r="CH17" s="2"/>
    </row>
    <row r="18" spans="1:86" s="1" customFormat="1" ht="15.75">
      <c r="A18" s="8">
        <v>2</v>
      </c>
      <c r="B18" s="118" t="s">
        <v>65</v>
      </c>
      <c r="C18" s="233">
        <v>4588</v>
      </c>
      <c r="D18" s="233">
        <v>769</v>
      </c>
      <c r="E18" s="233">
        <v>528</v>
      </c>
      <c r="F18" s="235">
        <v>0</v>
      </c>
      <c r="CE18" s="2"/>
      <c r="CF18" s="2"/>
      <c r="CG18" s="2"/>
      <c r="CH18" s="2"/>
    </row>
    <row r="19" spans="1:86" s="1" customFormat="1" ht="15">
      <c r="A19" s="8">
        <v>2</v>
      </c>
      <c r="B19" s="118" t="s">
        <v>66</v>
      </c>
      <c r="C19" s="233">
        <v>5399</v>
      </c>
      <c r="D19" s="233">
        <v>841</v>
      </c>
      <c r="E19" s="233">
        <v>480</v>
      </c>
      <c r="F19" s="234">
        <v>1401</v>
      </c>
      <c r="CE19" s="2"/>
      <c r="CF19" s="2"/>
      <c r="CG19" s="2"/>
      <c r="CH19" s="2"/>
    </row>
    <row r="20" spans="1:86" s="1" customFormat="1" ht="15">
      <c r="A20" s="8">
        <v>2</v>
      </c>
      <c r="B20" s="118" t="s">
        <v>67</v>
      </c>
      <c r="C20" s="233">
        <v>5632</v>
      </c>
      <c r="D20" s="233">
        <v>583</v>
      </c>
      <c r="E20" s="233">
        <v>173</v>
      </c>
      <c r="F20" s="234">
        <v>1103</v>
      </c>
      <c r="CE20" s="2"/>
      <c r="CF20" s="2"/>
      <c r="CG20" s="2"/>
      <c r="CH20" s="2"/>
    </row>
    <row r="21" spans="1:86" s="1" customFormat="1" ht="15">
      <c r="A21" s="9">
        <v>2</v>
      </c>
      <c r="B21" s="119" t="s">
        <v>68</v>
      </c>
      <c r="C21" s="233">
        <v>5550</v>
      </c>
      <c r="D21" s="233">
        <v>544</v>
      </c>
      <c r="E21" s="233">
        <v>102</v>
      </c>
      <c r="F21" s="234">
        <v>858</v>
      </c>
      <c r="CE21" s="2"/>
      <c r="CF21" s="2"/>
      <c r="CG21" s="2"/>
      <c r="CH21" s="2"/>
    </row>
    <row r="22" spans="1:86" s="1" customFormat="1" ht="15">
      <c r="A22" s="7">
        <v>3</v>
      </c>
      <c r="B22" s="117" t="s">
        <v>69</v>
      </c>
      <c r="C22" s="233">
        <v>43588</v>
      </c>
      <c r="D22" s="233">
        <v>3493</v>
      </c>
      <c r="E22" s="233">
        <v>2485</v>
      </c>
      <c r="F22" s="234">
        <v>6263</v>
      </c>
      <c r="CE22" s="2"/>
      <c r="CF22" s="2"/>
      <c r="CG22" s="2"/>
      <c r="CH22" s="2"/>
    </row>
    <row r="23" spans="1:86" s="1" customFormat="1" ht="15">
      <c r="A23" s="8">
        <v>3</v>
      </c>
      <c r="B23" s="118" t="s">
        <v>70</v>
      </c>
      <c r="C23" s="233">
        <v>6178</v>
      </c>
      <c r="D23" s="233">
        <v>940</v>
      </c>
      <c r="E23" s="233">
        <v>229</v>
      </c>
      <c r="F23" s="234">
        <v>1284</v>
      </c>
      <c r="CE23" s="2"/>
      <c r="CF23" s="2"/>
      <c r="CG23" s="2"/>
      <c r="CH23" s="2"/>
    </row>
    <row r="24" spans="1:86" s="1" customFormat="1" ht="15">
      <c r="A24" s="8">
        <v>3</v>
      </c>
      <c r="B24" s="118" t="s">
        <v>71</v>
      </c>
      <c r="C24" s="233">
        <v>58925</v>
      </c>
      <c r="D24" s="233">
        <v>5063</v>
      </c>
      <c r="E24" s="233">
        <v>560</v>
      </c>
      <c r="F24" s="234">
        <v>8035</v>
      </c>
      <c r="CE24" s="2"/>
      <c r="CF24" s="2"/>
      <c r="CG24" s="2"/>
      <c r="CH24" s="2"/>
    </row>
    <row r="25" spans="1:86" s="1" customFormat="1" ht="15">
      <c r="A25" s="8">
        <v>3</v>
      </c>
      <c r="B25" s="118" t="s">
        <v>72</v>
      </c>
      <c r="C25" s="233">
        <v>15643</v>
      </c>
      <c r="D25" s="233">
        <v>1944</v>
      </c>
      <c r="E25" s="233">
        <v>595</v>
      </c>
      <c r="F25" s="234">
        <v>3062</v>
      </c>
      <c r="CE25" s="2"/>
      <c r="CF25" s="2"/>
      <c r="CG25" s="2"/>
      <c r="CH25" s="2"/>
    </row>
    <row r="26" spans="1:86" s="1" customFormat="1" ht="15.75">
      <c r="A26" s="8">
        <v>3</v>
      </c>
      <c r="B26" s="118" t="s">
        <v>73</v>
      </c>
      <c r="C26" s="233">
        <v>4679</v>
      </c>
      <c r="D26" s="233">
        <v>470</v>
      </c>
      <c r="E26" s="233">
        <v>251</v>
      </c>
      <c r="F26" s="235">
        <v>0</v>
      </c>
      <c r="CE26" s="2"/>
      <c r="CF26" s="2"/>
      <c r="CG26" s="2"/>
      <c r="CH26" s="2"/>
    </row>
    <row r="27" spans="1:86" s="1" customFormat="1" ht="15.75">
      <c r="A27" s="8">
        <v>3</v>
      </c>
      <c r="B27" s="118" t="s">
        <v>74</v>
      </c>
      <c r="C27" s="233">
        <v>4295</v>
      </c>
      <c r="D27" s="233">
        <v>626</v>
      </c>
      <c r="E27" s="233">
        <v>67</v>
      </c>
      <c r="F27" s="235">
        <v>0</v>
      </c>
      <c r="CE27" s="2"/>
      <c r="CF27" s="2"/>
      <c r="CG27" s="2"/>
      <c r="CH27" s="2"/>
    </row>
    <row r="28" spans="1:86" s="1" customFormat="1" ht="15.75">
      <c r="A28" s="8">
        <v>3</v>
      </c>
      <c r="B28" s="118" t="s">
        <v>75</v>
      </c>
      <c r="C28" s="233">
        <v>3134</v>
      </c>
      <c r="D28" s="233">
        <v>528</v>
      </c>
      <c r="E28" s="233">
        <v>434</v>
      </c>
      <c r="F28" s="235">
        <v>0</v>
      </c>
      <c r="CE28" s="2"/>
      <c r="CF28" s="2"/>
      <c r="CG28" s="2"/>
      <c r="CH28" s="2"/>
    </row>
    <row r="29" spans="1:86" s="1" customFormat="1" ht="15">
      <c r="A29" s="8">
        <v>3</v>
      </c>
      <c r="B29" s="118" t="s">
        <v>76</v>
      </c>
      <c r="C29" s="233">
        <v>58615</v>
      </c>
      <c r="D29" s="233">
        <v>4082</v>
      </c>
      <c r="E29" s="233">
        <v>1018</v>
      </c>
      <c r="F29" s="234">
        <v>8833</v>
      </c>
      <c r="CE29" s="2"/>
      <c r="CF29" s="2"/>
      <c r="CG29" s="2"/>
      <c r="CH29" s="2"/>
    </row>
    <row r="30" spans="1:86" s="1" customFormat="1" ht="15.75">
      <c r="A30" s="8">
        <v>3</v>
      </c>
      <c r="B30" s="118" t="s">
        <v>77</v>
      </c>
      <c r="C30" s="233">
        <v>1585</v>
      </c>
      <c r="D30" s="233">
        <v>234</v>
      </c>
      <c r="E30" s="233">
        <v>0</v>
      </c>
      <c r="F30" s="235">
        <v>0</v>
      </c>
      <c r="CE30" s="2"/>
      <c r="CF30" s="2"/>
      <c r="CG30" s="2"/>
      <c r="CH30" s="2"/>
    </row>
    <row r="31" spans="1:86" s="1" customFormat="1" ht="15">
      <c r="A31" s="8">
        <v>3</v>
      </c>
      <c r="B31" s="118" t="s">
        <v>78</v>
      </c>
      <c r="C31" s="233">
        <v>95511</v>
      </c>
      <c r="D31" s="233">
        <v>5552</v>
      </c>
      <c r="E31" s="233">
        <v>2121</v>
      </c>
      <c r="F31" s="234">
        <v>11399</v>
      </c>
      <c r="CE31" s="2"/>
      <c r="CF31" s="2"/>
      <c r="CG31" s="2"/>
      <c r="CH31" s="2"/>
    </row>
    <row r="32" spans="1:86" s="1" customFormat="1" ht="15">
      <c r="A32" s="8">
        <v>3</v>
      </c>
      <c r="B32" s="118" t="s">
        <v>79</v>
      </c>
      <c r="C32" s="233">
        <v>11569</v>
      </c>
      <c r="D32" s="233">
        <v>1524</v>
      </c>
      <c r="E32" s="233">
        <v>442</v>
      </c>
      <c r="F32" s="234">
        <v>1661</v>
      </c>
      <c r="CE32" s="2"/>
      <c r="CF32" s="2"/>
      <c r="CG32" s="2"/>
      <c r="CH32" s="2"/>
    </row>
    <row r="33" spans="1:86" s="1" customFormat="1" ht="15">
      <c r="A33" s="8">
        <v>3</v>
      </c>
      <c r="B33" s="118" t="s">
        <v>80</v>
      </c>
      <c r="C33" s="233">
        <v>114151</v>
      </c>
      <c r="D33" s="233">
        <v>10551</v>
      </c>
      <c r="E33" s="233">
        <v>3875</v>
      </c>
      <c r="F33" s="234">
        <v>15975</v>
      </c>
      <c r="CE33" s="2"/>
      <c r="CF33" s="2"/>
      <c r="CG33" s="2"/>
      <c r="CH33" s="2"/>
    </row>
    <row r="34" spans="1:86" s="1" customFormat="1" ht="15">
      <c r="A34" s="8">
        <v>3</v>
      </c>
      <c r="B34" s="118" t="s">
        <v>81</v>
      </c>
      <c r="C34" s="233">
        <v>19962</v>
      </c>
      <c r="D34" s="233">
        <v>3456</v>
      </c>
      <c r="E34" s="233">
        <v>1188</v>
      </c>
      <c r="F34" s="234">
        <v>2797</v>
      </c>
      <c r="CE34" s="2"/>
      <c r="CF34" s="2"/>
      <c r="CG34" s="2"/>
      <c r="CH34" s="2"/>
    </row>
    <row r="35" spans="1:86" s="1" customFormat="1" ht="15">
      <c r="A35" s="8">
        <v>3</v>
      </c>
      <c r="B35" s="118" t="s">
        <v>82</v>
      </c>
      <c r="C35" s="233">
        <v>58124</v>
      </c>
      <c r="D35" s="233">
        <v>3505</v>
      </c>
      <c r="E35" s="233">
        <v>767</v>
      </c>
      <c r="F35" s="234">
        <v>4951</v>
      </c>
      <c r="CE35" s="2"/>
      <c r="CF35" s="2"/>
      <c r="CG35" s="2"/>
      <c r="CH35" s="2"/>
    </row>
    <row r="36" spans="1:86" s="1" customFormat="1" ht="15">
      <c r="A36" s="8">
        <v>3</v>
      </c>
      <c r="B36" s="118" t="s">
        <v>83</v>
      </c>
      <c r="C36" s="233">
        <v>11539</v>
      </c>
      <c r="D36" s="233">
        <v>1729</v>
      </c>
      <c r="E36" s="233">
        <v>444</v>
      </c>
      <c r="F36" s="234">
        <v>2213</v>
      </c>
      <c r="CE36" s="2"/>
      <c r="CF36" s="2"/>
      <c r="CG36" s="2"/>
      <c r="CH36" s="2"/>
    </row>
    <row r="37" spans="1:86" s="1" customFormat="1" ht="15.75">
      <c r="A37" s="9">
        <v>3</v>
      </c>
      <c r="B37" s="119" t="s">
        <v>84</v>
      </c>
      <c r="C37" s="233">
        <v>2756</v>
      </c>
      <c r="D37" s="233">
        <v>367</v>
      </c>
      <c r="E37" s="233">
        <v>135</v>
      </c>
      <c r="F37" s="235">
        <v>0</v>
      </c>
      <c r="CE37" s="2"/>
      <c r="CF37" s="2"/>
      <c r="CG37" s="2"/>
      <c r="CH37" s="2"/>
    </row>
    <row r="38" spans="1:86" s="1" customFormat="1" ht="15">
      <c r="A38" s="7">
        <v>4</v>
      </c>
      <c r="B38" s="117" t="s">
        <v>85</v>
      </c>
      <c r="C38" s="233">
        <v>4714</v>
      </c>
      <c r="D38" s="233">
        <v>430</v>
      </c>
      <c r="E38" s="233">
        <v>127</v>
      </c>
      <c r="F38" s="234">
        <v>961</v>
      </c>
      <c r="CE38" s="2"/>
      <c r="CF38" s="2"/>
      <c r="CG38" s="2"/>
      <c r="CH38" s="2"/>
    </row>
    <row r="39" spans="1:86" s="1" customFormat="1" ht="15">
      <c r="A39" s="8">
        <v>4</v>
      </c>
      <c r="B39" s="118" t="s">
        <v>86</v>
      </c>
      <c r="C39" s="233">
        <v>36373</v>
      </c>
      <c r="D39" s="233">
        <v>2747</v>
      </c>
      <c r="E39" s="233">
        <v>562</v>
      </c>
      <c r="F39" s="234">
        <v>5116</v>
      </c>
      <c r="CE39" s="2"/>
      <c r="CF39" s="2"/>
      <c r="CG39" s="2"/>
      <c r="CH39" s="2"/>
    </row>
    <row r="40" spans="1:86" s="1" customFormat="1" ht="15">
      <c r="A40" s="8">
        <v>4</v>
      </c>
      <c r="B40" s="118" t="s">
        <v>87</v>
      </c>
      <c r="C40" s="233">
        <v>154585</v>
      </c>
      <c r="D40" s="233">
        <v>15302</v>
      </c>
      <c r="E40" s="233">
        <v>10621</v>
      </c>
      <c r="F40" s="234">
        <v>23023</v>
      </c>
      <c r="CE40" s="2"/>
      <c r="CF40" s="2"/>
      <c r="CG40" s="2"/>
      <c r="CH40" s="2"/>
    </row>
    <row r="41" spans="1:86" s="1" customFormat="1" ht="15">
      <c r="A41" s="8">
        <v>4</v>
      </c>
      <c r="B41" s="118" t="s">
        <v>88</v>
      </c>
      <c r="C41" s="233">
        <v>33013</v>
      </c>
      <c r="D41" s="233">
        <v>2081</v>
      </c>
      <c r="E41" s="233">
        <v>713</v>
      </c>
      <c r="F41" s="234">
        <v>3662</v>
      </c>
      <c r="CE41" s="2"/>
      <c r="CF41" s="2"/>
      <c r="CG41" s="2"/>
      <c r="CH41" s="2"/>
    </row>
    <row r="42" spans="1:86" s="1" customFormat="1" ht="15">
      <c r="A42" s="8">
        <v>4</v>
      </c>
      <c r="B42" s="118" t="s">
        <v>89</v>
      </c>
      <c r="C42" s="233">
        <v>19057</v>
      </c>
      <c r="D42" s="233">
        <v>1708</v>
      </c>
      <c r="E42" s="233">
        <v>510</v>
      </c>
      <c r="F42" s="234">
        <v>2485</v>
      </c>
      <c r="CE42" s="2"/>
      <c r="CF42" s="2"/>
      <c r="CG42" s="2"/>
      <c r="CH42" s="2"/>
    </row>
    <row r="43" spans="1:86" s="1" customFormat="1" ht="15">
      <c r="A43" s="8">
        <v>4</v>
      </c>
      <c r="B43" s="118" t="s">
        <v>90</v>
      </c>
      <c r="C43" s="233">
        <v>47620</v>
      </c>
      <c r="D43" s="233">
        <v>2856</v>
      </c>
      <c r="E43" s="233">
        <v>786</v>
      </c>
      <c r="F43" s="234">
        <v>5297</v>
      </c>
      <c r="CE43" s="2"/>
      <c r="CF43" s="2"/>
      <c r="CG43" s="2"/>
      <c r="CH43" s="2"/>
    </row>
    <row r="44" spans="1:86" s="1" customFormat="1" ht="15">
      <c r="A44" s="9">
        <v>4</v>
      </c>
      <c r="B44" s="119" t="s">
        <v>91</v>
      </c>
      <c r="C44" s="233">
        <v>145976</v>
      </c>
      <c r="D44" s="233">
        <v>13385</v>
      </c>
      <c r="E44" s="233">
        <v>4363</v>
      </c>
      <c r="F44" s="234">
        <v>19326</v>
      </c>
      <c r="CE44" s="2"/>
      <c r="CF44" s="2"/>
      <c r="CG44" s="2"/>
      <c r="CH44" s="2"/>
    </row>
    <row r="45" spans="1:86" s="1" customFormat="1" ht="15">
      <c r="A45" s="7">
        <v>5</v>
      </c>
      <c r="B45" s="117" t="s">
        <v>92</v>
      </c>
      <c r="C45" s="233">
        <v>132507</v>
      </c>
      <c r="D45" s="233">
        <v>11355</v>
      </c>
      <c r="E45" s="233">
        <v>2281</v>
      </c>
      <c r="F45" s="234">
        <v>17118</v>
      </c>
      <c r="CE45" s="2"/>
      <c r="CF45" s="2"/>
      <c r="CG45" s="2"/>
      <c r="CH45" s="2"/>
    </row>
    <row r="46" spans="1:86" s="1" customFormat="1" ht="15">
      <c r="A46" s="9">
        <v>5</v>
      </c>
      <c r="B46" s="119" t="s">
        <v>93</v>
      </c>
      <c r="C46" s="233">
        <v>272965</v>
      </c>
      <c r="D46" s="233">
        <v>25138</v>
      </c>
      <c r="E46" s="233">
        <v>7077</v>
      </c>
      <c r="F46" s="234">
        <v>40542</v>
      </c>
      <c r="CE46" s="2"/>
      <c r="CF46" s="2"/>
      <c r="CG46" s="2"/>
      <c r="CH46" s="2"/>
    </row>
    <row r="47" spans="1:86" s="1" customFormat="1" ht="15">
      <c r="A47" s="7">
        <v>6</v>
      </c>
      <c r="B47" s="117" t="s">
        <v>94</v>
      </c>
      <c r="C47" s="233">
        <v>4901</v>
      </c>
      <c r="D47" s="233">
        <v>894</v>
      </c>
      <c r="E47" s="233">
        <v>571</v>
      </c>
      <c r="F47" s="234">
        <v>825</v>
      </c>
      <c r="CE47" s="2"/>
      <c r="CF47" s="2"/>
      <c r="CG47" s="2"/>
      <c r="CH47" s="2"/>
    </row>
    <row r="48" spans="1:86" s="1" customFormat="1" ht="15">
      <c r="A48" s="8">
        <v>6</v>
      </c>
      <c r="B48" s="118" t="s">
        <v>95</v>
      </c>
      <c r="C48" s="233">
        <v>39504</v>
      </c>
      <c r="D48" s="233">
        <v>3875</v>
      </c>
      <c r="E48" s="233">
        <v>1781</v>
      </c>
      <c r="F48" s="234">
        <v>4960</v>
      </c>
      <c r="CE48" s="2"/>
      <c r="CF48" s="2"/>
      <c r="CG48" s="2"/>
      <c r="CH48" s="2"/>
    </row>
    <row r="49" spans="1:86" s="1" customFormat="1" ht="15">
      <c r="A49" s="8">
        <v>6</v>
      </c>
      <c r="B49" s="118" t="s">
        <v>96</v>
      </c>
      <c r="C49" s="233">
        <v>224205</v>
      </c>
      <c r="D49" s="233">
        <v>21634</v>
      </c>
      <c r="E49" s="233">
        <v>16615</v>
      </c>
      <c r="F49" s="234">
        <v>33704</v>
      </c>
      <c r="CE49" s="2"/>
      <c r="CF49" s="2"/>
      <c r="CG49" s="2"/>
      <c r="CH49" s="2"/>
    </row>
    <row r="50" spans="1:86" s="1" customFormat="1" ht="15">
      <c r="A50" s="8">
        <v>6</v>
      </c>
      <c r="B50" s="118" t="s">
        <v>97</v>
      </c>
      <c r="C50" s="233">
        <v>103464</v>
      </c>
      <c r="D50" s="233">
        <v>7788</v>
      </c>
      <c r="E50" s="233">
        <v>2014</v>
      </c>
      <c r="F50" s="234">
        <v>11810</v>
      </c>
      <c r="CE50" s="2"/>
      <c r="CF50" s="2"/>
      <c r="CG50" s="2"/>
      <c r="CH50" s="2"/>
    </row>
    <row r="51" spans="1:86" s="1" customFormat="1" ht="15">
      <c r="A51" s="9">
        <v>6</v>
      </c>
      <c r="B51" s="119" t="s">
        <v>98</v>
      </c>
      <c r="C51" s="233">
        <v>153576</v>
      </c>
      <c r="D51" s="233">
        <v>13566</v>
      </c>
      <c r="E51" s="233">
        <v>7411</v>
      </c>
      <c r="F51" s="234">
        <v>21764</v>
      </c>
      <c r="CE51" s="2"/>
      <c r="CF51" s="2"/>
      <c r="CG51" s="2"/>
      <c r="CH51" s="2"/>
    </row>
    <row r="52" spans="1:86" s="1" customFormat="1" ht="15">
      <c r="A52" s="7">
        <v>7</v>
      </c>
      <c r="B52" s="117" t="s">
        <v>99</v>
      </c>
      <c r="C52" s="233">
        <v>154571</v>
      </c>
      <c r="D52" s="233">
        <v>11412</v>
      </c>
      <c r="E52" s="233">
        <v>4057</v>
      </c>
      <c r="F52" s="234">
        <v>20829</v>
      </c>
      <c r="CE52" s="2"/>
      <c r="CF52" s="2"/>
      <c r="CG52" s="2"/>
      <c r="CH52" s="2"/>
    </row>
    <row r="53" spans="1:86" s="1" customFormat="1" ht="15">
      <c r="A53" s="8">
        <v>7</v>
      </c>
      <c r="B53" s="118" t="s">
        <v>100</v>
      </c>
      <c r="C53" s="233">
        <v>177969</v>
      </c>
      <c r="D53" s="233">
        <v>17218</v>
      </c>
      <c r="E53" s="233">
        <v>16068</v>
      </c>
      <c r="F53" s="234">
        <v>24923</v>
      </c>
      <c r="CE53" s="2"/>
      <c r="CF53" s="2"/>
      <c r="CG53" s="2"/>
      <c r="CH53" s="2"/>
    </row>
    <row r="54" spans="1:86" s="1" customFormat="1" ht="15">
      <c r="A54" s="8">
        <v>7</v>
      </c>
      <c r="B54" s="118" t="s">
        <v>101</v>
      </c>
      <c r="C54" s="233">
        <v>47966</v>
      </c>
      <c r="D54" s="233">
        <v>4760</v>
      </c>
      <c r="E54" s="233">
        <v>4547</v>
      </c>
      <c r="F54" s="234">
        <v>7941</v>
      </c>
      <c r="CE54" s="2"/>
      <c r="CF54" s="2"/>
      <c r="CG54" s="2"/>
      <c r="CH54" s="2"/>
    </row>
    <row r="55" spans="1:86" s="1" customFormat="1" ht="15">
      <c r="A55" s="9">
        <v>7</v>
      </c>
      <c r="B55" s="119" t="s">
        <v>102</v>
      </c>
      <c r="C55" s="233">
        <v>81042</v>
      </c>
      <c r="D55" s="233">
        <v>6378</v>
      </c>
      <c r="E55" s="233">
        <v>3719</v>
      </c>
      <c r="F55" s="234">
        <v>10395</v>
      </c>
      <c r="CE55" s="2"/>
      <c r="CF55" s="2"/>
      <c r="CG55" s="2"/>
      <c r="CH55" s="2"/>
    </row>
    <row r="56" spans="1:86" s="1" customFormat="1" ht="15">
      <c r="A56" s="7">
        <v>8</v>
      </c>
      <c r="B56" s="117" t="s">
        <v>103</v>
      </c>
      <c r="C56" s="233">
        <v>70820</v>
      </c>
      <c r="D56" s="233">
        <v>4540</v>
      </c>
      <c r="E56" s="233">
        <v>1234</v>
      </c>
      <c r="F56" s="234">
        <v>8710</v>
      </c>
      <c r="CE56" s="2"/>
      <c r="CF56" s="2"/>
      <c r="CG56" s="2"/>
      <c r="CH56" s="2"/>
    </row>
    <row r="57" spans="1:86" s="1" customFormat="1" ht="15">
      <c r="A57" s="8">
        <v>8</v>
      </c>
      <c r="B57" s="118" t="s">
        <v>104</v>
      </c>
      <c r="C57" s="233">
        <v>112393</v>
      </c>
      <c r="D57" s="233">
        <v>6890</v>
      </c>
      <c r="E57" s="233">
        <v>2458</v>
      </c>
      <c r="F57" s="234">
        <v>11614</v>
      </c>
      <c r="CE57" s="2"/>
      <c r="CF57" s="2"/>
      <c r="CG57" s="2"/>
      <c r="CH57" s="2"/>
    </row>
    <row r="58" spans="1:86" s="1" customFormat="1" ht="15">
      <c r="A58" s="8">
        <v>8</v>
      </c>
      <c r="B58" s="118" t="s">
        <v>105</v>
      </c>
      <c r="C58" s="233">
        <v>8418</v>
      </c>
      <c r="D58" s="233">
        <v>945</v>
      </c>
      <c r="E58" s="233">
        <v>358</v>
      </c>
      <c r="F58" s="234">
        <v>1163</v>
      </c>
      <c r="CE58" s="2"/>
      <c r="CF58" s="2"/>
      <c r="CG58" s="2"/>
      <c r="CH58" s="2"/>
    </row>
    <row r="59" spans="1:86" s="1" customFormat="1" ht="15.75">
      <c r="A59" s="8">
        <v>8</v>
      </c>
      <c r="B59" s="118" t="s">
        <v>106</v>
      </c>
      <c r="C59" s="233">
        <v>3792</v>
      </c>
      <c r="D59" s="233">
        <v>341</v>
      </c>
      <c r="E59" s="233">
        <v>124</v>
      </c>
      <c r="F59" s="235">
        <v>0</v>
      </c>
      <c r="CE59" s="2"/>
      <c r="CF59" s="2"/>
      <c r="CG59" s="2"/>
      <c r="CH59" s="2"/>
    </row>
    <row r="60" spans="1:86" s="1" customFormat="1" ht="15">
      <c r="A60" s="8">
        <v>8</v>
      </c>
      <c r="B60" s="118" t="s">
        <v>107</v>
      </c>
      <c r="C60" s="233">
        <v>6549</v>
      </c>
      <c r="D60" s="233">
        <v>802</v>
      </c>
      <c r="E60" s="233">
        <v>772</v>
      </c>
      <c r="F60" s="234">
        <v>1343</v>
      </c>
      <c r="CE60" s="2"/>
      <c r="CF60" s="2"/>
      <c r="CG60" s="2"/>
      <c r="CH60" s="2"/>
    </row>
    <row r="61" spans="1:86" s="1" customFormat="1" ht="15">
      <c r="A61" s="8">
        <v>8</v>
      </c>
      <c r="B61" s="118" t="s">
        <v>108</v>
      </c>
      <c r="C61" s="233">
        <v>200486</v>
      </c>
      <c r="D61" s="233">
        <v>13401</v>
      </c>
      <c r="E61" s="233">
        <v>4569</v>
      </c>
      <c r="F61" s="234">
        <v>21817</v>
      </c>
      <c r="CE61" s="2"/>
      <c r="CF61" s="2"/>
      <c r="CG61" s="2"/>
      <c r="CH61" s="2"/>
    </row>
    <row r="62" spans="1:86" s="1" customFormat="1" ht="15">
      <c r="A62" s="9">
        <v>8</v>
      </c>
      <c r="B62" s="119" t="s">
        <v>109</v>
      </c>
      <c r="C62" s="233">
        <v>154801</v>
      </c>
      <c r="D62" s="233">
        <v>10424</v>
      </c>
      <c r="E62" s="233">
        <v>1983</v>
      </c>
      <c r="F62" s="234">
        <v>17554</v>
      </c>
      <c r="CE62" s="2"/>
      <c r="CF62" s="2"/>
      <c r="CG62" s="2"/>
      <c r="CH62" s="2"/>
    </row>
    <row r="63" spans="1:86" s="1" customFormat="1" ht="15">
      <c r="A63" s="7">
        <v>9</v>
      </c>
      <c r="B63" s="117" t="s">
        <v>110</v>
      </c>
      <c r="C63" s="233">
        <v>49694</v>
      </c>
      <c r="D63" s="233">
        <v>3600</v>
      </c>
      <c r="E63" s="233">
        <v>995</v>
      </c>
      <c r="F63" s="234">
        <v>5858</v>
      </c>
      <c r="CE63" s="2"/>
      <c r="CF63" s="2"/>
      <c r="CG63" s="2"/>
      <c r="CH63" s="2"/>
    </row>
    <row r="64" spans="1:86" s="1" customFormat="1" ht="15">
      <c r="A64" s="8">
        <v>9</v>
      </c>
      <c r="B64" s="118" t="s">
        <v>111</v>
      </c>
      <c r="C64" s="233">
        <v>52652</v>
      </c>
      <c r="D64" s="233">
        <v>3312</v>
      </c>
      <c r="E64" s="233">
        <v>804</v>
      </c>
      <c r="F64" s="234">
        <v>5945</v>
      </c>
      <c r="CE64" s="2"/>
      <c r="CF64" s="2"/>
      <c r="CG64" s="2"/>
      <c r="CH64" s="2"/>
    </row>
    <row r="65" spans="1:86" s="1" customFormat="1" ht="15">
      <c r="A65" s="8">
        <v>9</v>
      </c>
      <c r="B65" s="118" t="s">
        <v>112</v>
      </c>
      <c r="C65" s="233">
        <v>9188</v>
      </c>
      <c r="D65" s="233">
        <v>1077</v>
      </c>
      <c r="E65" s="233">
        <v>295</v>
      </c>
      <c r="F65" s="234">
        <v>1859</v>
      </c>
      <c r="CE65" s="2"/>
      <c r="CF65" s="2"/>
      <c r="CG65" s="2"/>
      <c r="CH65" s="2"/>
    </row>
    <row r="66" spans="1:86" s="1" customFormat="1" ht="15">
      <c r="A66" s="8">
        <v>9</v>
      </c>
      <c r="B66" s="118" t="s">
        <v>113</v>
      </c>
      <c r="C66" s="233">
        <v>379800</v>
      </c>
      <c r="D66" s="233">
        <v>30327</v>
      </c>
      <c r="E66" s="233">
        <v>16449</v>
      </c>
      <c r="F66" s="234">
        <v>48811</v>
      </c>
      <c r="CE66" s="2"/>
      <c r="CF66" s="2"/>
      <c r="CG66" s="2"/>
      <c r="CH66" s="2"/>
    </row>
    <row r="67" spans="1:86" s="1" customFormat="1" ht="15">
      <c r="A67" s="9">
        <v>9</v>
      </c>
      <c r="B67" s="119" t="s">
        <v>114</v>
      </c>
      <c r="C67" s="233">
        <v>76635</v>
      </c>
      <c r="D67" s="233">
        <v>6004</v>
      </c>
      <c r="E67" s="233">
        <v>4114</v>
      </c>
      <c r="F67" s="234">
        <v>9615</v>
      </c>
      <c r="CE67" s="2"/>
      <c r="CF67" s="2"/>
      <c r="CG67" s="2"/>
      <c r="CH67" s="2"/>
    </row>
    <row r="68" spans="1:86" s="1" customFormat="1" ht="15">
      <c r="A68" s="10">
        <v>10</v>
      </c>
      <c r="B68" s="120" t="s">
        <v>115</v>
      </c>
      <c r="C68" s="233">
        <v>369251</v>
      </c>
      <c r="D68" s="233">
        <v>42358</v>
      </c>
      <c r="E68" s="233">
        <v>28872</v>
      </c>
      <c r="F68" s="234">
        <v>58222</v>
      </c>
      <c r="CE68" s="2"/>
      <c r="CF68" s="2"/>
      <c r="CG68" s="2"/>
      <c r="CH68" s="2"/>
    </row>
    <row r="69" spans="1:86" s="1" customFormat="1" ht="15">
      <c r="A69" s="7">
        <v>11</v>
      </c>
      <c r="B69" s="117" t="s">
        <v>116</v>
      </c>
      <c r="C69" s="233">
        <v>506819</v>
      </c>
      <c r="D69" s="233">
        <v>102199</v>
      </c>
      <c r="E69" s="233">
        <v>128042</v>
      </c>
      <c r="F69" s="234">
        <v>86348</v>
      </c>
      <c r="CE69" s="2"/>
      <c r="CF69" s="2"/>
      <c r="CG69" s="2"/>
      <c r="CH69" s="2"/>
    </row>
    <row r="70" spans="1:86" s="1" customFormat="1" ht="15">
      <c r="A70" s="9">
        <v>11</v>
      </c>
      <c r="B70" s="119" t="s">
        <v>117</v>
      </c>
      <c r="C70" s="233">
        <v>20040</v>
      </c>
      <c r="D70" s="233">
        <v>1885</v>
      </c>
      <c r="E70" s="233">
        <v>1099</v>
      </c>
      <c r="F70" s="234">
        <v>2054</v>
      </c>
      <c r="CE70" s="2"/>
      <c r="CF70" s="2"/>
      <c r="CG70" s="2"/>
      <c r="CH70" s="2"/>
    </row>
    <row r="74" spans="1:86">
      <c r="A74" s="501" t="s">
        <v>50</v>
      </c>
      <c r="B74" s="502"/>
      <c r="C74" s="11"/>
      <c r="D74" s="11"/>
      <c r="E74" s="11"/>
      <c r="F74" s="11"/>
      <c r="G74" s="12"/>
      <c r="H74" s="12"/>
      <c r="I74" s="13"/>
    </row>
    <row r="75" spans="1:86" ht="14.25" customHeight="1">
      <c r="A75" s="503" t="s">
        <v>223</v>
      </c>
      <c r="B75" s="503"/>
      <c r="C75" s="503"/>
      <c r="D75" s="503"/>
      <c r="E75" s="503"/>
      <c r="F75" s="503"/>
      <c r="G75" s="503"/>
      <c r="H75" s="503"/>
      <c r="I75" s="503"/>
    </row>
    <row r="76" spans="1:86">
      <c r="A76" s="503"/>
      <c r="B76" s="503"/>
      <c r="C76" s="503"/>
      <c r="D76" s="503"/>
      <c r="E76" s="503"/>
      <c r="F76" s="503"/>
      <c r="G76" s="503"/>
      <c r="H76" s="503"/>
      <c r="I76" s="503"/>
    </row>
    <row r="77" spans="1:86">
      <c r="A77" s="503"/>
      <c r="B77" s="503"/>
      <c r="C77" s="503"/>
      <c r="D77" s="503"/>
      <c r="E77" s="503"/>
      <c r="F77" s="503"/>
      <c r="G77" s="503"/>
      <c r="H77" s="503"/>
      <c r="I77" s="503"/>
    </row>
    <row r="78" spans="1:86">
      <c r="A78" s="503"/>
      <c r="B78" s="503"/>
      <c r="C78" s="503"/>
      <c r="D78" s="503"/>
      <c r="E78" s="503"/>
      <c r="F78" s="503"/>
      <c r="G78" s="503"/>
      <c r="H78" s="503"/>
      <c r="I78" s="503"/>
    </row>
    <row r="79" spans="1:86">
      <c r="A79" s="503"/>
      <c r="B79" s="503"/>
      <c r="C79" s="503"/>
      <c r="D79" s="503"/>
      <c r="E79" s="503"/>
      <c r="F79" s="503"/>
      <c r="G79" s="503"/>
      <c r="H79" s="503"/>
      <c r="I79" s="503"/>
    </row>
    <row r="80" spans="1:86">
      <c r="A80" s="503"/>
      <c r="B80" s="503"/>
      <c r="C80" s="503"/>
      <c r="D80" s="503"/>
      <c r="E80" s="503"/>
      <c r="F80" s="503"/>
      <c r="G80" s="503"/>
      <c r="H80" s="503"/>
      <c r="I80" s="503"/>
    </row>
    <row r="81" spans="1:9">
      <c r="A81" s="503"/>
      <c r="B81" s="503"/>
      <c r="C81" s="503"/>
      <c r="D81" s="503"/>
      <c r="E81" s="503"/>
      <c r="F81" s="503"/>
      <c r="G81" s="503"/>
      <c r="H81" s="503"/>
      <c r="I81" s="503"/>
    </row>
    <row r="82" spans="1:9">
      <c r="A82" s="503"/>
      <c r="B82" s="503"/>
      <c r="C82" s="503"/>
      <c r="D82" s="503"/>
      <c r="E82" s="503"/>
      <c r="F82" s="503"/>
      <c r="G82" s="503"/>
      <c r="H82" s="503"/>
      <c r="I82" s="503"/>
    </row>
    <row r="83" spans="1:9">
      <c r="A83" s="503"/>
      <c r="B83" s="503"/>
      <c r="C83" s="503"/>
      <c r="D83" s="503"/>
      <c r="E83" s="503"/>
      <c r="F83" s="503"/>
      <c r="G83" s="503"/>
      <c r="H83" s="503"/>
      <c r="I83" s="503"/>
    </row>
    <row r="84" spans="1:9">
      <c r="A84" s="503"/>
      <c r="B84" s="503"/>
      <c r="C84" s="503"/>
      <c r="D84" s="503"/>
      <c r="E84" s="503"/>
      <c r="F84" s="503"/>
      <c r="G84" s="503"/>
      <c r="H84" s="503"/>
      <c r="I84" s="503"/>
    </row>
    <row r="85" spans="1:9">
      <c r="A85" s="503"/>
      <c r="B85" s="503"/>
      <c r="C85" s="503"/>
      <c r="D85" s="503"/>
      <c r="E85" s="503"/>
      <c r="F85" s="503"/>
      <c r="G85" s="503"/>
      <c r="H85" s="503"/>
      <c r="I85" s="503"/>
    </row>
    <row r="86" spans="1:9">
      <c r="A86" s="503"/>
      <c r="B86" s="503"/>
      <c r="C86" s="503"/>
      <c r="D86" s="503"/>
      <c r="E86" s="503"/>
      <c r="F86" s="503"/>
      <c r="G86" s="503"/>
      <c r="H86" s="503"/>
      <c r="I86" s="503"/>
    </row>
    <row r="87" spans="1:9">
      <c r="A87" s="503"/>
      <c r="B87" s="503"/>
      <c r="C87" s="503"/>
      <c r="D87" s="503"/>
      <c r="E87" s="503"/>
      <c r="F87" s="503"/>
      <c r="G87" s="503"/>
      <c r="H87" s="503"/>
      <c r="I87" s="503"/>
    </row>
    <row r="88" spans="1:9">
      <c r="A88" s="503"/>
      <c r="B88" s="503"/>
      <c r="C88" s="503"/>
      <c r="D88" s="503"/>
      <c r="E88" s="503"/>
      <c r="F88" s="503"/>
      <c r="G88" s="503"/>
      <c r="H88" s="503"/>
      <c r="I88" s="503"/>
    </row>
    <row r="89" spans="1:9">
      <c r="A89" s="503"/>
      <c r="B89" s="503"/>
      <c r="C89" s="503"/>
      <c r="D89" s="503"/>
      <c r="E89" s="503"/>
      <c r="F89" s="503"/>
      <c r="G89" s="503"/>
      <c r="H89" s="503"/>
      <c r="I89" s="503"/>
    </row>
    <row r="90" spans="1:9">
      <c r="A90" s="503"/>
      <c r="B90" s="503"/>
      <c r="C90" s="503"/>
      <c r="D90" s="503"/>
      <c r="E90" s="503"/>
      <c r="F90" s="503"/>
      <c r="G90" s="503"/>
      <c r="H90" s="503"/>
      <c r="I90" s="503"/>
    </row>
    <row r="91" spans="1:9">
      <c r="A91" s="503"/>
      <c r="B91" s="503"/>
      <c r="C91" s="503"/>
      <c r="D91" s="503"/>
      <c r="E91" s="503"/>
      <c r="F91" s="503"/>
      <c r="G91" s="503"/>
      <c r="H91" s="503"/>
      <c r="I91" s="503"/>
    </row>
  </sheetData>
  <mergeCells count="4">
    <mergeCell ref="A1:F1"/>
    <mergeCell ref="A2:F2"/>
    <mergeCell ref="A74:B74"/>
    <mergeCell ref="A75:I91"/>
  </mergeCells>
  <pageMargins left="0.7" right="0.7" top="0.75" bottom="0.75" header="0.3" footer="0.3"/>
  <pageSetup scale="87" fitToWidth="2" fitToHeight="2" orientation="portrait" r:id="rId1"/>
  <headerFooter>
    <oddFooter>&amp;L&amp;"-,Regular"&amp;9&amp;Z&amp;F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2:N28"/>
  <sheetViews>
    <sheetView workbookViewId="0">
      <selection activeCell="K11" sqref="K11"/>
    </sheetView>
  </sheetViews>
  <sheetFormatPr defaultRowHeight="15.75"/>
  <cols>
    <col min="1" max="1" width="5" style="92" customWidth="1"/>
    <col min="2" max="2" width="10.44140625" style="84" bestFit="1" customWidth="1"/>
    <col min="3" max="6" width="8.88671875" style="84"/>
    <col min="7" max="7" width="11.44140625" style="84" bestFit="1" customWidth="1"/>
    <col min="8" max="9" width="8.88671875" style="84"/>
    <col min="10" max="11" width="10.44140625" style="84" bestFit="1" customWidth="1"/>
    <col min="12" max="12" width="11.88671875" style="84" bestFit="1" customWidth="1"/>
    <col min="13" max="13" width="10.44140625" style="84" bestFit="1" customWidth="1"/>
    <col min="14" max="16384" width="8.88671875" style="84"/>
  </cols>
  <sheetData>
    <row r="2" spans="1:14">
      <c r="A2" s="504" t="s">
        <v>259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264"/>
    </row>
    <row r="3" spans="1:14">
      <c r="A3" s="504" t="s">
        <v>236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264"/>
    </row>
    <row r="4" spans="1:14">
      <c r="A4" s="504" t="s">
        <v>258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264"/>
    </row>
    <row r="5" spans="1:14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</row>
    <row r="6" spans="1:14" ht="16.5" thickBot="1"/>
    <row r="7" spans="1:14" s="286" customFormat="1" ht="15">
      <c r="A7" s="285"/>
      <c r="B7" s="285" t="s">
        <v>122</v>
      </c>
      <c r="C7" s="285" t="s">
        <v>237</v>
      </c>
      <c r="D7" s="285"/>
      <c r="E7" s="285" t="s">
        <v>123</v>
      </c>
      <c r="F7" s="285"/>
      <c r="G7" s="285" t="s">
        <v>238</v>
      </c>
      <c r="H7" s="285"/>
      <c r="I7" s="285"/>
      <c r="J7" s="285" t="s">
        <v>18</v>
      </c>
      <c r="K7" s="285" t="s">
        <v>1</v>
      </c>
      <c r="L7" s="285" t="s">
        <v>239</v>
      </c>
      <c r="M7" s="285" t="s">
        <v>240</v>
      </c>
    </row>
    <row r="8" spans="1:14" s="286" customFormat="1" ht="15">
      <c r="A8" s="287" t="s">
        <v>5</v>
      </c>
      <c r="B8" s="287" t="s">
        <v>125</v>
      </c>
      <c r="C8" s="287" t="s">
        <v>49</v>
      </c>
      <c r="D8" s="287" t="s">
        <v>126</v>
      </c>
      <c r="E8" s="287" t="s">
        <v>127</v>
      </c>
      <c r="F8" s="287" t="s">
        <v>128</v>
      </c>
      <c r="G8" s="287" t="s">
        <v>241</v>
      </c>
      <c r="H8" s="287" t="s">
        <v>128</v>
      </c>
      <c r="I8" s="287" t="s">
        <v>1</v>
      </c>
      <c r="J8" s="287" t="s">
        <v>129</v>
      </c>
      <c r="K8" s="287" t="s">
        <v>242</v>
      </c>
      <c r="L8" s="287" t="s">
        <v>243</v>
      </c>
      <c r="M8" s="287" t="s">
        <v>10</v>
      </c>
    </row>
    <row r="9" spans="1:14" s="286" customFormat="1" thickBot="1">
      <c r="A9" s="288"/>
      <c r="B9" s="288" t="s">
        <v>130</v>
      </c>
      <c r="C9" s="288" t="s">
        <v>131</v>
      </c>
      <c r="D9" s="288" t="s">
        <v>132</v>
      </c>
      <c r="E9" s="288" t="s">
        <v>133</v>
      </c>
      <c r="F9" s="288" t="s">
        <v>132</v>
      </c>
      <c r="G9" s="288" t="s">
        <v>134</v>
      </c>
      <c r="H9" s="288" t="s">
        <v>132</v>
      </c>
      <c r="I9" s="288" t="s">
        <v>135</v>
      </c>
      <c r="J9" s="288" t="s">
        <v>136</v>
      </c>
      <c r="K9" s="288" t="s">
        <v>244</v>
      </c>
      <c r="L9" s="288" t="s">
        <v>245</v>
      </c>
      <c r="M9" s="288" t="s">
        <v>246</v>
      </c>
    </row>
    <row r="10" spans="1:14">
      <c r="K10" s="273"/>
      <c r="L10" s="278"/>
      <c r="M10" s="280"/>
    </row>
    <row r="11" spans="1:14">
      <c r="A11" s="92" t="s">
        <v>247</v>
      </c>
      <c r="B11" s="251">
        <v>230000</v>
      </c>
      <c r="C11" s="252">
        <v>113999</v>
      </c>
      <c r="D11" s="253">
        <f t="shared" ref="D11:D21" si="0">SUM(C11/$C$23*0.5)</f>
        <v>1.5107565484582064E-2</v>
      </c>
      <c r="E11" s="254">
        <v>4</v>
      </c>
      <c r="F11" s="253">
        <f t="shared" ref="F11:F21" si="1">SUM(E11/$E$23*0.25)</f>
        <v>1.4925373134328358E-2</v>
      </c>
      <c r="G11" s="251">
        <v>1270736</v>
      </c>
      <c r="H11" s="253">
        <f t="shared" ref="H11:H21" si="2">SUM(G11/$G$23*0.25)</f>
        <v>7.582975946409983E-3</v>
      </c>
      <c r="I11" s="254">
        <f t="shared" ref="I11:I21" si="3">D11+F11+H11</f>
        <v>3.7615914565320402E-2</v>
      </c>
      <c r="J11" s="251">
        <f t="shared" ref="J11:J20" si="4">ROUND(I11*$J$26,0)</f>
        <v>93541</v>
      </c>
      <c r="K11" s="274">
        <f t="shared" ref="K11:K21" si="5">B11+J11</f>
        <v>323541</v>
      </c>
      <c r="L11" s="251">
        <f t="shared" ref="L11:L21" si="6">ROUND(346998*K11/$K$23,0)</f>
        <v>15769</v>
      </c>
      <c r="M11" s="281">
        <f t="shared" ref="M11:M21" si="7">SUM(K11:L11)</f>
        <v>339310</v>
      </c>
    </row>
    <row r="12" spans="1:14">
      <c r="A12" s="92" t="s">
        <v>248</v>
      </c>
      <c r="B12" s="251">
        <v>230000</v>
      </c>
      <c r="C12" s="252">
        <v>105341</v>
      </c>
      <c r="D12" s="253">
        <f t="shared" si="0"/>
        <v>1.396017557795559E-2</v>
      </c>
      <c r="E12" s="254">
        <v>14</v>
      </c>
      <c r="F12" s="253">
        <f t="shared" si="1"/>
        <v>5.2238805970149252E-2</v>
      </c>
      <c r="G12" s="251">
        <v>1575272</v>
      </c>
      <c r="H12" s="253">
        <f t="shared" si="2"/>
        <v>9.4002607032878157E-3</v>
      </c>
      <c r="I12" s="254">
        <f t="shared" si="3"/>
        <v>7.5599242251392654E-2</v>
      </c>
      <c r="J12" s="251">
        <f t="shared" si="4"/>
        <v>187995</v>
      </c>
      <c r="K12" s="274">
        <f t="shared" si="5"/>
        <v>417995</v>
      </c>
      <c r="L12" s="251">
        <f t="shared" si="6"/>
        <v>20372</v>
      </c>
      <c r="M12" s="281">
        <f t="shared" si="7"/>
        <v>438367</v>
      </c>
    </row>
    <row r="13" spans="1:14">
      <c r="A13" s="92" t="s">
        <v>249</v>
      </c>
      <c r="B13" s="251">
        <f>ROUND('[4]2003 OAA '!W17*0.07,0)</f>
        <v>441310</v>
      </c>
      <c r="C13" s="252">
        <v>380565</v>
      </c>
      <c r="D13" s="253">
        <f t="shared" si="0"/>
        <v>5.0433869232536892E-2</v>
      </c>
      <c r="E13" s="254">
        <v>16</v>
      </c>
      <c r="F13" s="253">
        <f t="shared" si="1"/>
        <v>5.9701492537313432E-2</v>
      </c>
      <c r="G13" s="251">
        <v>3749410</v>
      </c>
      <c r="H13" s="253">
        <f t="shared" si="2"/>
        <v>2.2374187748855037E-2</v>
      </c>
      <c r="I13" s="254">
        <f t="shared" si="3"/>
        <v>0.13250954951870536</v>
      </c>
      <c r="J13" s="251">
        <f t="shared" si="4"/>
        <v>329516</v>
      </c>
      <c r="K13" s="274">
        <f t="shared" si="5"/>
        <v>770826</v>
      </c>
      <c r="L13" s="251">
        <f t="shared" si="6"/>
        <v>37568</v>
      </c>
      <c r="M13" s="281">
        <f t="shared" si="7"/>
        <v>808394</v>
      </c>
    </row>
    <row r="14" spans="1:14">
      <c r="A14" s="92" t="s">
        <v>250</v>
      </c>
      <c r="B14" s="251">
        <f>ROUND('[4]2003 OAA '!W19*0.07,0)</f>
        <v>392419</v>
      </c>
      <c r="C14" s="252">
        <v>329783</v>
      </c>
      <c r="D14" s="253">
        <f t="shared" si="0"/>
        <v>4.3704052388195747E-2</v>
      </c>
      <c r="E14" s="254">
        <v>7</v>
      </c>
      <c r="F14" s="253">
        <f t="shared" si="1"/>
        <v>2.6119402985074626E-2</v>
      </c>
      <c r="G14" s="251">
        <v>3988358</v>
      </c>
      <c r="H14" s="253">
        <f t="shared" si="2"/>
        <v>2.3800083400227764E-2</v>
      </c>
      <c r="I14" s="254">
        <f t="shared" si="3"/>
        <v>9.3623538773498133E-2</v>
      </c>
      <c r="J14" s="251">
        <f t="shared" si="4"/>
        <v>232817</v>
      </c>
      <c r="K14" s="274">
        <f t="shared" si="5"/>
        <v>625236</v>
      </c>
      <c r="L14" s="251">
        <f t="shared" si="6"/>
        <v>30472</v>
      </c>
      <c r="M14" s="281">
        <f t="shared" si="7"/>
        <v>655708</v>
      </c>
    </row>
    <row r="15" spans="1:14">
      <c r="A15" s="92" t="s">
        <v>251</v>
      </c>
      <c r="B15" s="251">
        <f>ROUND('[4]2003 OAA '!W21*0.07,0)</f>
        <v>362827</v>
      </c>
      <c r="C15" s="252">
        <v>378441</v>
      </c>
      <c r="D15" s="253">
        <f t="shared" si="0"/>
        <v>5.0152388964383204E-2</v>
      </c>
      <c r="E15" s="254">
        <v>2</v>
      </c>
      <c r="F15" s="253">
        <f t="shared" si="1"/>
        <v>7.462686567164179E-3</v>
      </c>
      <c r="G15" s="251">
        <v>5959354</v>
      </c>
      <c r="H15" s="253">
        <f t="shared" si="2"/>
        <v>3.5561783122648696E-2</v>
      </c>
      <c r="I15" s="254">
        <f t="shared" si="3"/>
        <v>9.3176858654196087E-2</v>
      </c>
      <c r="J15" s="251">
        <f t="shared" si="4"/>
        <v>231706</v>
      </c>
      <c r="K15" s="274">
        <f t="shared" si="5"/>
        <v>594533</v>
      </c>
      <c r="L15" s="251">
        <f t="shared" si="6"/>
        <v>28976</v>
      </c>
      <c r="M15" s="281">
        <f t="shared" si="7"/>
        <v>623509</v>
      </c>
    </row>
    <row r="16" spans="1:14">
      <c r="A16" s="92" t="s">
        <v>252</v>
      </c>
      <c r="B16" s="251">
        <f>ROUND('[4]2003 OAA '!W23*0.07,0)</f>
        <v>505091</v>
      </c>
      <c r="C16" s="252">
        <v>421204</v>
      </c>
      <c r="D16" s="253">
        <f t="shared" si="0"/>
        <v>5.5819498525144111E-2</v>
      </c>
      <c r="E16" s="254">
        <v>5</v>
      </c>
      <c r="F16" s="253">
        <f t="shared" si="1"/>
        <v>1.8656716417910446E-2</v>
      </c>
      <c r="G16" s="251">
        <v>4329536</v>
      </c>
      <c r="H16" s="253">
        <f t="shared" si="2"/>
        <v>2.5836025222482163E-2</v>
      </c>
      <c r="I16" s="254">
        <f t="shared" si="3"/>
        <v>0.10031224016553672</v>
      </c>
      <c r="J16" s="251">
        <f t="shared" si="4"/>
        <v>249450</v>
      </c>
      <c r="K16" s="274">
        <f t="shared" si="5"/>
        <v>754541</v>
      </c>
      <c r="L16" s="251">
        <f t="shared" si="6"/>
        <v>36774</v>
      </c>
      <c r="M16" s="281">
        <f t="shared" si="7"/>
        <v>791315</v>
      </c>
    </row>
    <row r="17" spans="1:13">
      <c r="A17" s="92" t="s">
        <v>253</v>
      </c>
      <c r="B17" s="251">
        <f>ROUND('[4]2003 OAA '!W25*0.07,0)</f>
        <v>372608</v>
      </c>
      <c r="C17" s="252">
        <v>344373</v>
      </c>
      <c r="D17" s="253">
        <f t="shared" si="0"/>
        <v>4.5637572685918115E-2</v>
      </c>
      <c r="E17" s="254">
        <v>4</v>
      </c>
      <c r="F17" s="253">
        <f t="shared" si="1"/>
        <v>1.4925373134328358E-2</v>
      </c>
      <c r="G17" s="251">
        <v>3182592</v>
      </c>
      <c r="H17" s="253">
        <f t="shared" si="2"/>
        <v>1.8991764287182262E-2</v>
      </c>
      <c r="I17" s="254">
        <f t="shared" si="3"/>
        <v>7.9554710107428733E-2</v>
      </c>
      <c r="J17" s="251">
        <f t="shared" si="4"/>
        <v>197832</v>
      </c>
      <c r="K17" s="274">
        <f t="shared" si="5"/>
        <v>570440</v>
      </c>
      <c r="L17" s="251">
        <f t="shared" si="6"/>
        <v>27802</v>
      </c>
      <c r="M17" s="281">
        <f t="shared" si="7"/>
        <v>598242</v>
      </c>
    </row>
    <row r="18" spans="1:13">
      <c r="A18" s="92" t="s">
        <v>254</v>
      </c>
      <c r="B18" s="251">
        <f>ROUND('[4]2003 OAA '!W27*0.07,0)</f>
        <v>382582</v>
      </c>
      <c r="C18" s="252">
        <v>449503</v>
      </c>
      <c r="D18" s="253">
        <f t="shared" si="0"/>
        <v>5.9569785770191772E-2</v>
      </c>
      <c r="E18" s="254">
        <v>7</v>
      </c>
      <c r="F18" s="253">
        <f t="shared" si="1"/>
        <v>2.6119402985074626E-2</v>
      </c>
      <c r="G18" s="251">
        <v>3914198</v>
      </c>
      <c r="H18" s="253">
        <f t="shared" si="2"/>
        <v>2.3357541836767089E-2</v>
      </c>
      <c r="I18" s="254">
        <f t="shared" si="3"/>
        <v>0.10904673059203349</v>
      </c>
      <c r="J18" s="251">
        <f t="shared" si="4"/>
        <v>271170</v>
      </c>
      <c r="K18" s="274">
        <f t="shared" si="5"/>
        <v>653752</v>
      </c>
      <c r="L18" s="251">
        <f t="shared" si="6"/>
        <v>31862</v>
      </c>
      <c r="M18" s="281">
        <f t="shared" si="7"/>
        <v>685614</v>
      </c>
    </row>
    <row r="19" spans="1:13">
      <c r="A19" s="92" t="s">
        <v>255</v>
      </c>
      <c r="B19" s="251">
        <f>ROUND('[4]2003 OAA '!W29*0.07,0)</f>
        <v>459635</v>
      </c>
      <c r="C19" s="252">
        <v>481126</v>
      </c>
      <c r="D19" s="253">
        <f t="shared" si="0"/>
        <v>6.376058168347995E-2</v>
      </c>
      <c r="E19" s="254">
        <v>5</v>
      </c>
      <c r="F19" s="253">
        <f t="shared" si="1"/>
        <v>1.8656716417910446E-2</v>
      </c>
      <c r="G19" s="251">
        <v>3619625</v>
      </c>
      <c r="H19" s="253">
        <f t="shared" si="2"/>
        <v>2.159971017585418E-2</v>
      </c>
      <c r="I19" s="254">
        <f t="shared" si="3"/>
        <v>0.10401700827724458</v>
      </c>
      <c r="J19" s="251">
        <f t="shared" si="4"/>
        <v>258663</v>
      </c>
      <c r="K19" s="274">
        <f t="shared" si="5"/>
        <v>718298</v>
      </c>
      <c r="L19" s="251">
        <f t="shared" si="6"/>
        <v>35008</v>
      </c>
      <c r="M19" s="281">
        <f t="shared" si="7"/>
        <v>753306</v>
      </c>
    </row>
    <row r="20" spans="1:13">
      <c r="A20" s="92" t="s">
        <v>21</v>
      </c>
      <c r="B20" s="251">
        <f>ROUND('[4]2003 OAA '!W31*0.07,0)</f>
        <v>379722</v>
      </c>
      <c r="C20" s="252">
        <v>338417</v>
      </c>
      <c r="D20" s="253">
        <f t="shared" si="0"/>
        <v>4.4848261726820486E-2</v>
      </c>
      <c r="E20" s="254">
        <v>1</v>
      </c>
      <c r="F20" s="253">
        <f t="shared" si="1"/>
        <v>3.7313432835820895E-3</v>
      </c>
      <c r="G20" s="251">
        <v>5586876</v>
      </c>
      <c r="H20" s="253">
        <f t="shared" si="2"/>
        <v>3.3339062026711462E-2</v>
      </c>
      <c r="I20" s="254">
        <f t="shared" si="3"/>
        <v>8.1918667037114035E-2</v>
      </c>
      <c r="J20" s="251">
        <f t="shared" si="4"/>
        <v>203710</v>
      </c>
      <c r="K20" s="274">
        <f t="shared" si="5"/>
        <v>583432</v>
      </c>
      <c r="L20" s="251">
        <f t="shared" si="6"/>
        <v>28435</v>
      </c>
      <c r="M20" s="281">
        <f t="shared" si="7"/>
        <v>611867</v>
      </c>
    </row>
    <row r="21" spans="1:13">
      <c r="A21" s="255" t="s">
        <v>22</v>
      </c>
      <c r="B21" s="251">
        <f>ROUND('[4]2003 OAA '!W33*0.07,0)</f>
        <v>876821</v>
      </c>
      <c r="C21" s="252">
        <v>430159</v>
      </c>
      <c r="D21" s="253">
        <f t="shared" si="0"/>
        <v>5.7006247960792081E-2</v>
      </c>
      <c r="E21" s="254">
        <v>2</v>
      </c>
      <c r="F21" s="253">
        <f t="shared" si="1"/>
        <v>7.462686567164179E-3</v>
      </c>
      <c r="G21" s="251">
        <v>4718413</v>
      </c>
      <c r="H21" s="253">
        <f t="shared" si="2"/>
        <v>2.8156605529573542E-2</v>
      </c>
      <c r="I21" s="254">
        <f t="shared" si="3"/>
        <v>9.2625540057529793E-2</v>
      </c>
      <c r="J21" s="251">
        <f>ROUND(I21*$J$26,0)+1</f>
        <v>230336</v>
      </c>
      <c r="K21" s="274">
        <f t="shared" si="5"/>
        <v>1107157</v>
      </c>
      <c r="L21" s="251">
        <f t="shared" si="6"/>
        <v>53960</v>
      </c>
      <c r="M21" s="281">
        <f t="shared" si="7"/>
        <v>1161117</v>
      </c>
    </row>
    <row r="22" spans="1:13">
      <c r="B22" s="256"/>
      <c r="C22" s="257"/>
      <c r="D22" s="258"/>
      <c r="G22" s="256"/>
      <c r="K22" s="275"/>
      <c r="L22" s="271"/>
      <c r="M22" s="282"/>
    </row>
    <row r="23" spans="1:13" s="85" customFormat="1">
      <c r="A23" s="263" t="s">
        <v>1</v>
      </c>
      <c r="B23" s="266">
        <f t="shared" ref="B23:M23" si="8">SUM(B11:B21)</f>
        <v>4633015</v>
      </c>
      <c r="C23" s="267">
        <f t="shared" si="8"/>
        <v>3772911</v>
      </c>
      <c r="D23" s="268">
        <f t="shared" si="8"/>
        <v>0.5</v>
      </c>
      <c r="E23" s="85">
        <f t="shared" si="8"/>
        <v>67</v>
      </c>
      <c r="F23" s="268">
        <f t="shared" si="8"/>
        <v>0.24999999999999997</v>
      </c>
      <c r="G23" s="266">
        <f t="shared" si="8"/>
        <v>41894370</v>
      </c>
      <c r="H23" s="268">
        <f t="shared" si="8"/>
        <v>0.25</v>
      </c>
      <c r="I23" s="268">
        <f t="shared" si="8"/>
        <v>1.0000000000000002</v>
      </c>
      <c r="J23" s="266">
        <f t="shared" si="8"/>
        <v>2486736</v>
      </c>
      <c r="K23" s="276">
        <f t="shared" si="8"/>
        <v>7119751</v>
      </c>
      <c r="L23" s="279">
        <f t="shared" si="8"/>
        <v>346998</v>
      </c>
      <c r="M23" s="283">
        <f t="shared" si="8"/>
        <v>7466749</v>
      </c>
    </row>
    <row r="24" spans="1:13" ht="16.5" thickBot="1">
      <c r="A24" s="259"/>
      <c r="B24" s="260"/>
      <c r="C24" s="261"/>
      <c r="D24" s="260"/>
      <c r="E24" s="260"/>
      <c r="F24" s="260"/>
      <c r="G24" s="262"/>
      <c r="H24" s="260"/>
      <c r="I24" s="260"/>
      <c r="J24" s="260"/>
      <c r="K24" s="277"/>
      <c r="L24" s="262"/>
      <c r="M24" s="284"/>
    </row>
    <row r="25" spans="1:13">
      <c r="A25" s="94"/>
      <c r="B25" s="269"/>
      <c r="C25" s="270"/>
      <c r="D25" s="269"/>
      <c r="E25" s="269"/>
      <c r="F25" s="269"/>
      <c r="G25" s="271"/>
      <c r="H25" s="269"/>
      <c r="I25" s="269"/>
      <c r="J25" s="269"/>
      <c r="K25" s="271"/>
      <c r="L25" s="271"/>
      <c r="M25" s="271"/>
    </row>
    <row r="26" spans="1:13">
      <c r="H26" s="84" t="s">
        <v>256</v>
      </c>
      <c r="J26" s="256">
        <f>7119751-B23</f>
        <v>2486736</v>
      </c>
      <c r="K26" s="256"/>
      <c r="L26" s="256"/>
      <c r="M26" s="256"/>
    </row>
    <row r="27" spans="1:13">
      <c r="A27" s="263"/>
      <c r="B27" s="272" t="s">
        <v>137</v>
      </c>
      <c r="C27" s="84" t="s">
        <v>257</v>
      </c>
      <c r="K27" s="256"/>
      <c r="L27" s="256"/>
      <c r="M27" s="256"/>
    </row>
    <row r="28" spans="1:13">
      <c r="A28" s="263"/>
      <c r="B28" s="272" t="s">
        <v>138</v>
      </c>
      <c r="C28" s="84" t="s">
        <v>139</v>
      </c>
    </row>
  </sheetData>
  <mergeCells count="3">
    <mergeCell ref="A2:M2"/>
    <mergeCell ref="A3:M3"/>
    <mergeCell ref="A4:M4"/>
  </mergeCells>
  <pageMargins left="0.7" right="0.7" top="0.75" bottom="0.75" header="0.3" footer="0.3"/>
  <pageSetup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/>
  </sheetPr>
  <dimension ref="A3:F16"/>
  <sheetViews>
    <sheetView workbookViewId="0">
      <selection activeCell="J33" sqref="J33"/>
    </sheetView>
  </sheetViews>
  <sheetFormatPr defaultRowHeight="15"/>
  <cols>
    <col min="1" max="1" width="9.6640625" style="17" customWidth="1"/>
    <col min="2" max="6" width="14" style="14" customWidth="1"/>
    <col min="7" max="16384" width="8.88671875" style="14"/>
  </cols>
  <sheetData>
    <row r="3" spans="1:6">
      <c r="B3" s="249" t="s">
        <v>118</v>
      </c>
      <c r="F3" s="105"/>
    </row>
    <row r="4" spans="1:6" s="15" customFormat="1" ht="45">
      <c r="A4" s="18" t="s">
        <v>5</v>
      </c>
      <c r="B4" s="15" t="s">
        <v>232</v>
      </c>
      <c r="C4" s="15" t="s">
        <v>233</v>
      </c>
      <c r="D4" s="15" t="s">
        <v>234</v>
      </c>
      <c r="E4" s="15" t="s">
        <v>235</v>
      </c>
      <c r="F4" s="106" t="s">
        <v>120</v>
      </c>
    </row>
    <row r="5" spans="1:6">
      <c r="A5" s="17">
        <v>1</v>
      </c>
      <c r="B5" s="250">
        <v>113999</v>
      </c>
      <c r="C5" s="250">
        <v>17125</v>
      </c>
      <c r="D5" s="250">
        <v>5439</v>
      </c>
      <c r="E5" s="250">
        <v>7240</v>
      </c>
      <c r="F5" s="107">
        <f>(B5/B$16)*0.35+(C5/C$16)*0.35+(D5/D$16)*0.15+(E5/E$16)*0.15</f>
        <v>3.2346433289943771E-2</v>
      </c>
    </row>
    <row r="6" spans="1:6">
      <c r="A6" s="17">
        <v>2</v>
      </c>
      <c r="B6" s="250">
        <v>105341</v>
      </c>
      <c r="C6" s="250">
        <v>21645</v>
      </c>
      <c r="D6" s="250">
        <v>8223</v>
      </c>
      <c r="E6" s="250">
        <v>7891</v>
      </c>
      <c r="F6" s="107">
        <f t="shared" ref="F6:F15" si="0">(B6/B$16)*0.35+(C6/C$16)*0.35+(D6/D$16)*0.15+(E6/E$16)*0.15</f>
        <v>3.7307159143496388E-2</v>
      </c>
    </row>
    <row r="7" spans="1:6">
      <c r="A7" s="17">
        <v>3</v>
      </c>
      <c r="B7" s="250">
        <v>380565</v>
      </c>
      <c r="C7" s="250">
        <v>53844</v>
      </c>
      <c r="D7" s="250">
        <v>12308</v>
      </c>
      <c r="E7" s="250">
        <v>20143</v>
      </c>
      <c r="F7" s="107">
        <f t="shared" si="0"/>
        <v>9.8387186533890128E-2</v>
      </c>
    </row>
    <row r="8" spans="1:6">
      <c r="A8" s="17">
        <v>4</v>
      </c>
      <c r="B8" s="250">
        <v>329783</v>
      </c>
      <c r="C8" s="250">
        <v>43597</v>
      </c>
      <c r="D8" s="250">
        <v>15613</v>
      </c>
      <c r="E8" s="250">
        <v>18716</v>
      </c>
      <c r="F8" s="107">
        <f t="shared" si="0"/>
        <v>8.7487139002079259E-2</v>
      </c>
    </row>
    <row r="9" spans="1:6">
      <c r="A9" s="17">
        <v>5</v>
      </c>
      <c r="B9" s="250">
        <v>378441</v>
      </c>
      <c r="C9" s="250">
        <v>38824</v>
      </c>
      <c r="D9" s="250">
        <v>6003</v>
      </c>
      <c r="E9" s="250">
        <v>17655</v>
      </c>
      <c r="F9" s="107">
        <f t="shared" si="0"/>
        <v>8.0889976371614575E-2</v>
      </c>
    </row>
    <row r="10" spans="1:6">
      <c r="A10" s="17">
        <v>6</v>
      </c>
      <c r="B10" s="250">
        <v>421204</v>
      </c>
      <c r="C10" s="250">
        <v>56234</v>
      </c>
      <c r="D10" s="250">
        <v>21884</v>
      </c>
      <c r="E10" s="250">
        <v>22677</v>
      </c>
      <c r="F10" s="107">
        <f t="shared" si="0"/>
        <v>0.11260679758662843</v>
      </c>
    </row>
    <row r="11" spans="1:6">
      <c r="A11" s="17">
        <v>7</v>
      </c>
      <c r="B11" s="250">
        <v>344373</v>
      </c>
      <c r="C11" s="250">
        <v>38241</v>
      </c>
      <c r="D11" s="250">
        <v>14230</v>
      </c>
      <c r="E11" s="250">
        <v>17539</v>
      </c>
      <c r="F11" s="107">
        <f t="shared" si="0"/>
        <v>8.307050472675212E-2</v>
      </c>
    </row>
    <row r="12" spans="1:6">
      <c r="A12" s="17">
        <v>8</v>
      </c>
      <c r="B12" s="250">
        <v>449503</v>
      </c>
      <c r="C12" s="250">
        <v>35550</v>
      </c>
      <c r="D12" s="250">
        <v>6265</v>
      </c>
      <c r="E12" s="250">
        <v>17673</v>
      </c>
      <c r="F12" s="107">
        <f t="shared" si="0"/>
        <v>8.5294045404828434E-2</v>
      </c>
    </row>
    <row r="13" spans="1:6">
      <c r="A13" s="17">
        <v>9</v>
      </c>
      <c r="B13" s="250">
        <v>481126</v>
      </c>
      <c r="C13" s="250">
        <v>45763</v>
      </c>
      <c r="D13" s="250">
        <v>12603</v>
      </c>
      <c r="E13" s="250">
        <v>20733</v>
      </c>
      <c r="F13" s="107">
        <f t="shared" si="0"/>
        <v>0.10247270052431458</v>
      </c>
    </row>
    <row r="14" spans="1:6">
      <c r="A14" s="17">
        <v>10</v>
      </c>
      <c r="B14" s="250">
        <v>338417</v>
      </c>
      <c r="C14" s="250">
        <v>40324</v>
      </c>
      <c r="D14" s="250">
        <v>13428</v>
      </c>
      <c r="E14" s="250">
        <v>19131</v>
      </c>
      <c r="F14" s="107">
        <f t="shared" si="0"/>
        <v>8.4656595220878122E-2</v>
      </c>
    </row>
    <row r="15" spans="1:6">
      <c r="A15" s="17">
        <v>11</v>
      </c>
      <c r="B15" s="250">
        <v>430159</v>
      </c>
      <c r="C15" s="250">
        <v>88720</v>
      </c>
      <c r="D15" s="250">
        <v>94851</v>
      </c>
      <c r="E15" s="250">
        <v>31293</v>
      </c>
      <c r="F15" s="107">
        <f t="shared" si="0"/>
        <v>0.19548146219557413</v>
      </c>
    </row>
    <row r="16" spans="1:6">
      <c r="A16" s="17" t="s">
        <v>119</v>
      </c>
      <c r="B16" s="250">
        <v>3772911</v>
      </c>
      <c r="C16" s="250">
        <v>479867</v>
      </c>
      <c r="D16" s="250">
        <v>210847</v>
      </c>
      <c r="E16" s="250">
        <v>200691</v>
      </c>
      <c r="F16" s="108">
        <f>SUM(F5:F15)</f>
        <v>0.99999999999999989</v>
      </c>
    </row>
  </sheetData>
  <pageMargins left="0.7" right="0.7" top="0.75" bottom="0.75" header="0.3" footer="0.3"/>
  <pageSetup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>
    <tabColor theme="6"/>
  </sheetPr>
  <dimension ref="A1:F68"/>
  <sheetViews>
    <sheetView workbookViewId="0">
      <selection activeCell="A4" sqref="A4"/>
    </sheetView>
  </sheetViews>
  <sheetFormatPr defaultRowHeight="15"/>
  <sheetData>
    <row r="1" spans="1:6" ht="51">
      <c r="A1" s="240" t="s">
        <v>5</v>
      </c>
      <c r="B1" s="241" t="s">
        <v>48</v>
      </c>
      <c r="C1" s="241" t="s">
        <v>49</v>
      </c>
      <c r="D1" s="240" t="s">
        <v>228</v>
      </c>
      <c r="E1" s="240" t="s">
        <v>229</v>
      </c>
      <c r="F1" s="240" t="s">
        <v>230</v>
      </c>
    </row>
    <row r="2" spans="1:6">
      <c r="A2" s="242">
        <v>1</v>
      </c>
      <c r="B2" s="243" t="s">
        <v>51</v>
      </c>
      <c r="C2" s="244">
        <v>52967</v>
      </c>
      <c r="D2" s="244">
        <v>8828</v>
      </c>
      <c r="E2" s="244">
        <v>3886</v>
      </c>
      <c r="F2" s="244">
        <v>3682</v>
      </c>
    </row>
    <row r="3" spans="1:6">
      <c r="A3" s="242">
        <v>1</v>
      </c>
      <c r="B3" s="243" t="s">
        <v>52</v>
      </c>
      <c r="C3" s="244">
        <v>29409</v>
      </c>
      <c r="D3" s="244">
        <v>3052</v>
      </c>
      <c r="E3" s="244">
        <v>667</v>
      </c>
      <c r="F3" s="244">
        <v>1324</v>
      </c>
    </row>
    <row r="4" spans="1:6">
      <c r="A4" s="242">
        <v>1</v>
      </c>
      <c r="B4" s="243" t="s">
        <v>53</v>
      </c>
      <c r="C4" s="244">
        <v>21047</v>
      </c>
      <c r="D4" s="244">
        <v>3213</v>
      </c>
      <c r="E4" s="244">
        <v>541</v>
      </c>
      <c r="F4" s="244">
        <v>1602</v>
      </c>
    </row>
    <row r="5" spans="1:6" ht="15.75" thickBot="1">
      <c r="A5" s="242">
        <v>1</v>
      </c>
      <c r="B5" s="243" t="s">
        <v>54</v>
      </c>
      <c r="C5" s="244">
        <v>10576</v>
      </c>
      <c r="D5" s="244">
        <v>2032</v>
      </c>
      <c r="E5" s="244">
        <v>345</v>
      </c>
      <c r="F5" s="244">
        <v>632</v>
      </c>
    </row>
    <row r="6" spans="1:6" ht="15.75" thickBot="1">
      <c r="A6" s="245">
        <v>2</v>
      </c>
      <c r="B6" s="246" t="s">
        <v>55</v>
      </c>
      <c r="C6" s="247">
        <v>28383</v>
      </c>
      <c r="D6" s="247">
        <v>4792</v>
      </c>
      <c r="E6" s="247">
        <v>1013</v>
      </c>
      <c r="F6" s="248">
        <v>1995</v>
      </c>
    </row>
    <row r="7" spans="1:6">
      <c r="A7" s="242">
        <v>2</v>
      </c>
      <c r="B7" s="243" t="s">
        <v>56</v>
      </c>
      <c r="C7" s="244">
        <v>2542</v>
      </c>
      <c r="D7" s="244">
        <v>682</v>
      </c>
      <c r="E7" s="244">
        <v>116</v>
      </c>
      <c r="F7" s="244">
        <v>127</v>
      </c>
    </row>
    <row r="8" spans="1:6">
      <c r="A8" s="242">
        <v>2</v>
      </c>
      <c r="B8" s="243" t="s">
        <v>57</v>
      </c>
      <c r="C8" s="244">
        <v>2655</v>
      </c>
      <c r="D8" s="244">
        <v>754</v>
      </c>
      <c r="E8" s="244">
        <v>105</v>
      </c>
      <c r="F8" s="244">
        <v>165</v>
      </c>
    </row>
    <row r="9" spans="1:6">
      <c r="A9" s="242">
        <v>2</v>
      </c>
      <c r="B9" s="243" t="s">
        <v>58</v>
      </c>
      <c r="C9" s="244">
        <v>7571</v>
      </c>
      <c r="D9" s="244">
        <v>2070</v>
      </c>
      <c r="E9" s="244">
        <v>1844</v>
      </c>
      <c r="F9" s="244">
        <v>733</v>
      </c>
    </row>
    <row r="10" spans="1:6">
      <c r="A10" s="242">
        <v>2</v>
      </c>
      <c r="B10" s="243" t="s">
        <v>59</v>
      </c>
      <c r="C10" s="244">
        <v>3074</v>
      </c>
      <c r="D10" s="244">
        <v>671</v>
      </c>
      <c r="E10" s="244">
        <v>149</v>
      </c>
      <c r="F10" s="244">
        <v>231</v>
      </c>
    </row>
    <row r="11" spans="1:6">
      <c r="A11" s="242">
        <v>2</v>
      </c>
      <c r="B11" s="243" t="s">
        <v>60</v>
      </c>
      <c r="C11" s="244">
        <v>3926</v>
      </c>
      <c r="D11" s="244">
        <v>1028</v>
      </c>
      <c r="E11" s="244">
        <v>27</v>
      </c>
      <c r="F11" s="244">
        <v>430</v>
      </c>
    </row>
    <row r="12" spans="1:6">
      <c r="A12" s="242">
        <v>2</v>
      </c>
      <c r="B12" s="243" t="s">
        <v>61</v>
      </c>
      <c r="C12" s="244">
        <v>9151</v>
      </c>
      <c r="D12" s="244">
        <v>2797</v>
      </c>
      <c r="E12" s="244">
        <v>1202</v>
      </c>
      <c r="F12" s="244">
        <v>931</v>
      </c>
    </row>
    <row r="13" spans="1:6">
      <c r="A13" s="242">
        <v>2</v>
      </c>
      <c r="B13" s="243" t="s">
        <v>62</v>
      </c>
      <c r="C13" s="244">
        <v>2502</v>
      </c>
      <c r="D13" s="244">
        <v>628</v>
      </c>
      <c r="E13" s="244">
        <v>322</v>
      </c>
      <c r="F13" s="244">
        <v>240</v>
      </c>
    </row>
    <row r="14" spans="1:6">
      <c r="A14" s="242">
        <v>2</v>
      </c>
      <c r="B14" s="243" t="s">
        <v>63</v>
      </c>
      <c r="C14" s="244">
        <v>28365</v>
      </c>
      <c r="D14" s="244">
        <v>4051</v>
      </c>
      <c r="E14" s="244">
        <v>2257</v>
      </c>
      <c r="F14" s="244">
        <v>1604</v>
      </c>
    </row>
    <row r="15" spans="1:6">
      <c r="A15" s="242">
        <v>2</v>
      </c>
      <c r="B15" s="243" t="s">
        <v>64</v>
      </c>
      <c r="C15" s="244">
        <v>1047</v>
      </c>
      <c r="D15" s="244">
        <v>221</v>
      </c>
      <c r="E15" s="244">
        <v>36</v>
      </c>
      <c r="F15" s="244">
        <v>172</v>
      </c>
    </row>
    <row r="16" spans="1:6">
      <c r="A16" s="242">
        <v>2</v>
      </c>
      <c r="B16" s="243" t="s">
        <v>65</v>
      </c>
      <c r="C16" s="244">
        <v>3651</v>
      </c>
      <c r="D16" s="244">
        <v>1215</v>
      </c>
      <c r="E16" s="244">
        <v>623</v>
      </c>
      <c r="F16" s="244">
        <v>313</v>
      </c>
    </row>
    <row r="17" spans="1:6">
      <c r="A17" s="242">
        <v>2</v>
      </c>
      <c r="B17" s="243" t="s">
        <v>66</v>
      </c>
      <c r="C17" s="244">
        <v>3838</v>
      </c>
      <c r="D17" s="244">
        <v>976</v>
      </c>
      <c r="E17" s="244">
        <v>240</v>
      </c>
      <c r="F17" s="244">
        <v>220</v>
      </c>
    </row>
    <row r="18" spans="1:6">
      <c r="A18" s="242">
        <v>2</v>
      </c>
      <c r="B18" s="243" t="s">
        <v>67</v>
      </c>
      <c r="C18" s="244">
        <v>3917</v>
      </c>
      <c r="D18" s="244">
        <v>646</v>
      </c>
      <c r="E18" s="244">
        <v>120</v>
      </c>
      <c r="F18" s="244">
        <v>302</v>
      </c>
    </row>
    <row r="19" spans="1:6">
      <c r="A19" s="242">
        <v>2</v>
      </c>
      <c r="B19" s="243" t="s">
        <v>68</v>
      </c>
      <c r="C19" s="244">
        <v>4719</v>
      </c>
      <c r="D19" s="244">
        <v>1114</v>
      </c>
      <c r="E19" s="244">
        <v>169</v>
      </c>
      <c r="F19" s="244">
        <v>428</v>
      </c>
    </row>
    <row r="20" spans="1:6" ht="15.75" thickBot="1">
      <c r="A20" s="242">
        <v>3</v>
      </c>
      <c r="B20" s="243" t="s">
        <v>69</v>
      </c>
      <c r="C20" s="244">
        <v>29318</v>
      </c>
      <c r="D20" s="244">
        <v>4864</v>
      </c>
      <c r="E20" s="244">
        <v>2490</v>
      </c>
      <c r="F20" s="244">
        <v>2046</v>
      </c>
    </row>
    <row r="21" spans="1:6" ht="15.75" thickBot="1">
      <c r="A21" s="245">
        <v>3</v>
      </c>
      <c r="B21" s="246" t="s">
        <v>70</v>
      </c>
      <c r="C21" s="247">
        <v>4783</v>
      </c>
      <c r="D21" s="247">
        <v>951</v>
      </c>
      <c r="E21" s="247">
        <v>157</v>
      </c>
      <c r="F21" s="248">
        <v>369</v>
      </c>
    </row>
    <row r="22" spans="1:6">
      <c r="A22" s="242">
        <v>3</v>
      </c>
      <c r="B22" s="243" t="s">
        <v>71</v>
      </c>
      <c r="C22" s="244">
        <v>50443</v>
      </c>
      <c r="D22" s="244">
        <v>5648</v>
      </c>
      <c r="E22" s="244">
        <v>604</v>
      </c>
      <c r="F22" s="244">
        <v>2230</v>
      </c>
    </row>
    <row r="23" spans="1:6">
      <c r="A23" s="242">
        <v>3</v>
      </c>
      <c r="B23" s="243" t="s">
        <v>72</v>
      </c>
      <c r="C23" s="244">
        <v>11237</v>
      </c>
      <c r="D23" s="244">
        <v>2394</v>
      </c>
      <c r="E23" s="244">
        <v>766</v>
      </c>
      <c r="F23" s="244">
        <v>882</v>
      </c>
    </row>
    <row r="24" spans="1:6">
      <c r="A24" s="242">
        <v>3</v>
      </c>
      <c r="B24" s="243" t="s">
        <v>73</v>
      </c>
      <c r="C24" s="244">
        <v>3618</v>
      </c>
      <c r="D24" s="244">
        <v>1135</v>
      </c>
      <c r="E24" s="244">
        <v>60</v>
      </c>
      <c r="F24" s="244">
        <v>314</v>
      </c>
    </row>
    <row r="25" spans="1:6">
      <c r="A25" s="242">
        <v>3</v>
      </c>
      <c r="B25" s="243" t="s">
        <v>74</v>
      </c>
      <c r="C25" s="244">
        <v>2875</v>
      </c>
      <c r="D25" s="244">
        <v>632</v>
      </c>
      <c r="E25" s="244">
        <v>81</v>
      </c>
      <c r="F25" s="244">
        <v>202</v>
      </c>
    </row>
    <row r="26" spans="1:6">
      <c r="A26" s="242">
        <v>3</v>
      </c>
      <c r="B26" s="243" t="s">
        <v>75</v>
      </c>
      <c r="C26" s="244">
        <v>2155</v>
      </c>
      <c r="D26" s="244">
        <v>715</v>
      </c>
      <c r="E26" s="244">
        <v>335</v>
      </c>
      <c r="F26" s="244">
        <v>168</v>
      </c>
    </row>
    <row r="27" spans="1:6">
      <c r="A27" s="242">
        <v>3</v>
      </c>
      <c r="B27" s="243" t="s">
        <v>76</v>
      </c>
      <c r="C27" s="244">
        <v>51010</v>
      </c>
      <c r="D27" s="244">
        <v>4656</v>
      </c>
      <c r="E27" s="244">
        <v>829</v>
      </c>
      <c r="F27" s="244">
        <v>2197</v>
      </c>
    </row>
    <row r="28" spans="1:6">
      <c r="A28" s="242">
        <v>3</v>
      </c>
      <c r="B28" s="243" t="s">
        <v>77</v>
      </c>
      <c r="C28" s="244">
        <v>1222</v>
      </c>
      <c r="D28" s="244">
        <v>376</v>
      </c>
      <c r="E28" s="244">
        <v>36</v>
      </c>
      <c r="F28" s="244">
        <v>68</v>
      </c>
    </row>
    <row r="29" spans="1:6">
      <c r="A29" s="242">
        <v>3</v>
      </c>
      <c r="B29" s="243" t="s">
        <v>78</v>
      </c>
      <c r="C29" s="244">
        <v>78263</v>
      </c>
      <c r="D29" s="244">
        <v>9102</v>
      </c>
      <c r="E29" s="244">
        <v>1623</v>
      </c>
      <c r="F29" s="244">
        <v>3327</v>
      </c>
    </row>
    <row r="30" spans="1:6">
      <c r="A30" s="242">
        <v>3</v>
      </c>
      <c r="B30" s="243" t="s">
        <v>79</v>
      </c>
      <c r="C30" s="244">
        <v>9457</v>
      </c>
      <c r="D30" s="244">
        <v>2021</v>
      </c>
      <c r="E30" s="244">
        <v>346</v>
      </c>
      <c r="F30" s="244">
        <v>778</v>
      </c>
    </row>
    <row r="31" spans="1:6">
      <c r="A31" s="242">
        <v>3</v>
      </c>
      <c r="B31" s="243" t="s">
        <v>80</v>
      </c>
      <c r="C31" s="244">
        <v>85493</v>
      </c>
      <c r="D31" s="244">
        <v>11994</v>
      </c>
      <c r="E31" s="244">
        <v>2757</v>
      </c>
      <c r="F31" s="244">
        <v>4333</v>
      </c>
    </row>
    <row r="32" spans="1:6">
      <c r="A32" s="242">
        <v>3</v>
      </c>
      <c r="B32" s="243" t="s">
        <v>81</v>
      </c>
      <c r="C32" s="244">
        <v>17642</v>
      </c>
      <c r="D32" s="244">
        <v>3135</v>
      </c>
      <c r="E32" s="244">
        <v>1092</v>
      </c>
      <c r="F32" s="244">
        <v>1195</v>
      </c>
    </row>
    <row r="33" spans="1:6">
      <c r="A33" s="242">
        <v>3</v>
      </c>
      <c r="B33" s="243" t="s">
        <v>82</v>
      </c>
      <c r="C33" s="244">
        <v>22785</v>
      </c>
      <c r="D33" s="244">
        <v>3911</v>
      </c>
      <c r="E33" s="244">
        <v>664</v>
      </c>
      <c r="F33" s="244">
        <v>1164</v>
      </c>
    </row>
    <row r="34" spans="1:6">
      <c r="A34" s="242">
        <v>3</v>
      </c>
      <c r="B34" s="243" t="s">
        <v>83</v>
      </c>
      <c r="C34" s="244">
        <v>8706</v>
      </c>
      <c r="D34" s="244">
        <v>1978</v>
      </c>
      <c r="E34" s="244">
        <v>398</v>
      </c>
      <c r="F34" s="244">
        <v>755</v>
      </c>
    </row>
    <row r="35" spans="1:6">
      <c r="A35" s="242">
        <v>3</v>
      </c>
      <c r="B35" s="243" t="s">
        <v>84</v>
      </c>
      <c r="C35" s="244">
        <v>1558</v>
      </c>
      <c r="D35" s="244">
        <v>332</v>
      </c>
      <c r="E35" s="244">
        <v>70</v>
      </c>
      <c r="F35" s="244">
        <v>115</v>
      </c>
    </row>
    <row r="36" spans="1:6">
      <c r="A36" s="242">
        <v>4</v>
      </c>
      <c r="B36" s="243" t="s">
        <v>85</v>
      </c>
      <c r="C36" s="244">
        <v>3196</v>
      </c>
      <c r="D36" s="244">
        <v>784</v>
      </c>
      <c r="E36" s="244">
        <v>105</v>
      </c>
      <c r="F36" s="244">
        <v>195</v>
      </c>
    </row>
    <row r="37" spans="1:6" ht="15.75" thickBot="1">
      <c r="A37" s="242">
        <v>4</v>
      </c>
      <c r="B37" s="243" t="s">
        <v>86</v>
      </c>
      <c r="C37" s="244">
        <v>21819</v>
      </c>
      <c r="D37" s="244">
        <v>2072</v>
      </c>
      <c r="E37" s="244">
        <v>468</v>
      </c>
      <c r="F37" s="244">
        <v>1339</v>
      </c>
    </row>
    <row r="38" spans="1:6" ht="15.75" thickBot="1">
      <c r="A38" s="245">
        <v>4</v>
      </c>
      <c r="B38" s="246" t="s">
        <v>87</v>
      </c>
      <c r="C38" s="247">
        <v>115145</v>
      </c>
      <c r="D38" s="247">
        <v>19184</v>
      </c>
      <c r="E38" s="247">
        <v>10373</v>
      </c>
      <c r="F38" s="248">
        <v>7950</v>
      </c>
    </row>
    <row r="39" spans="1:6">
      <c r="A39" s="242">
        <v>4</v>
      </c>
      <c r="B39" s="243" t="s">
        <v>88</v>
      </c>
      <c r="C39" s="244">
        <v>21633</v>
      </c>
      <c r="D39" s="244">
        <v>1558</v>
      </c>
      <c r="E39" s="244">
        <v>583</v>
      </c>
      <c r="F39" s="244">
        <v>617</v>
      </c>
    </row>
    <row r="40" spans="1:6">
      <c r="A40" s="242">
        <v>4</v>
      </c>
      <c r="B40" s="243" t="s">
        <v>89</v>
      </c>
      <c r="C40" s="244">
        <v>11297</v>
      </c>
      <c r="D40" s="244">
        <v>2388</v>
      </c>
      <c r="E40" s="244">
        <v>485</v>
      </c>
      <c r="F40" s="244">
        <v>728</v>
      </c>
    </row>
    <row r="41" spans="1:6">
      <c r="A41" s="242">
        <v>4</v>
      </c>
      <c r="B41" s="243" t="s">
        <v>90</v>
      </c>
      <c r="C41" s="244">
        <v>29298</v>
      </c>
      <c r="D41" s="244">
        <v>3285</v>
      </c>
      <c r="E41" s="244">
        <v>753</v>
      </c>
      <c r="F41" s="244">
        <v>1367</v>
      </c>
    </row>
    <row r="42" spans="1:6">
      <c r="A42" s="242">
        <v>4</v>
      </c>
      <c r="B42" s="243" t="s">
        <v>91</v>
      </c>
      <c r="C42" s="244">
        <v>127395</v>
      </c>
      <c r="D42" s="244">
        <v>14326</v>
      </c>
      <c r="E42" s="244">
        <v>2846</v>
      </c>
      <c r="F42" s="244">
        <v>6520</v>
      </c>
    </row>
    <row r="43" spans="1:6">
      <c r="A43" s="242">
        <v>5</v>
      </c>
      <c r="B43" s="243" t="s">
        <v>92</v>
      </c>
      <c r="C43" s="244">
        <v>119964</v>
      </c>
      <c r="D43" s="244">
        <v>12933</v>
      </c>
      <c r="E43" s="244">
        <v>844</v>
      </c>
      <c r="F43" s="244">
        <v>5609</v>
      </c>
    </row>
    <row r="44" spans="1:6">
      <c r="A44" s="242">
        <v>5</v>
      </c>
      <c r="B44" s="243" t="s">
        <v>93</v>
      </c>
      <c r="C44" s="244">
        <v>258477</v>
      </c>
      <c r="D44" s="244">
        <v>25891</v>
      </c>
      <c r="E44" s="244">
        <v>5159</v>
      </c>
      <c r="F44" s="244">
        <v>12046</v>
      </c>
    </row>
    <row r="45" spans="1:6" ht="15.75" thickBot="1">
      <c r="A45" s="242">
        <v>6</v>
      </c>
      <c r="B45" s="243" t="s">
        <v>94</v>
      </c>
      <c r="C45" s="244">
        <v>5052</v>
      </c>
      <c r="D45" s="244">
        <v>1134</v>
      </c>
      <c r="E45" s="244">
        <v>333</v>
      </c>
      <c r="F45" s="244">
        <v>453</v>
      </c>
    </row>
    <row r="46" spans="1:6" ht="15.75" thickBot="1">
      <c r="A46" s="245">
        <v>6</v>
      </c>
      <c r="B46" s="246" t="s">
        <v>95</v>
      </c>
      <c r="C46" s="247">
        <v>36498</v>
      </c>
      <c r="D46" s="247">
        <v>4544</v>
      </c>
      <c r="E46" s="247">
        <v>849</v>
      </c>
      <c r="F46" s="248">
        <v>1874</v>
      </c>
    </row>
    <row r="47" spans="1:6">
      <c r="A47" s="242">
        <v>6</v>
      </c>
      <c r="B47" s="243" t="s">
        <v>96</v>
      </c>
      <c r="C47" s="244">
        <v>171069</v>
      </c>
      <c r="D47" s="244">
        <v>26230</v>
      </c>
      <c r="E47" s="244">
        <v>14850</v>
      </c>
      <c r="F47" s="244">
        <v>10283</v>
      </c>
    </row>
    <row r="48" spans="1:6" ht="15.75" thickBot="1">
      <c r="A48" s="242">
        <v>6</v>
      </c>
      <c r="B48" s="243" t="s">
        <v>97</v>
      </c>
      <c r="C48" s="244">
        <v>85494</v>
      </c>
      <c r="D48" s="244">
        <v>7865</v>
      </c>
      <c r="E48" s="244">
        <v>1417</v>
      </c>
      <c r="F48" s="244">
        <v>3374</v>
      </c>
    </row>
    <row r="49" spans="1:6" ht="15.75" thickBot="1">
      <c r="A49" s="245">
        <v>6</v>
      </c>
      <c r="B49" s="246" t="s">
        <v>98</v>
      </c>
      <c r="C49" s="247">
        <v>123091</v>
      </c>
      <c r="D49" s="247">
        <v>16461</v>
      </c>
      <c r="E49" s="247">
        <v>4435</v>
      </c>
      <c r="F49" s="248">
        <v>6693</v>
      </c>
    </row>
    <row r="50" spans="1:6">
      <c r="A50" s="242">
        <v>7</v>
      </c>
      <c r="B50" s="243" t="s">
        <v>99</v>
      </c>
      <c r="C50" s="244">
        <v>125181</v>
      </c>
      <c r="D50" s="244">
        <v>12003</v>
      </c>
      <c r="E50" s="244">
        <v>2625</v>
      </c>
      <c r="F50" s="244">
        <v>5548</v>
      </c>
    </row>
    <row r="51" spans="1:6">
      <c r="A51" s="242">
        <v>7</v>
      </c>
      <c r="B51" s="243" t="s">
        <v>100</v>
      </c>
      <c r="C51" s="244">
        <v>131232</v>
      </c>
      <c r="D51" s="244">
        <v>16553</v>
      </c>
      <c r="E51" s="244">
        <v>8167</v>
      </c>
      <c r="F51" s="244">
        <v>7417</v>
      </c>
    </row>
    <row r="52" spans="1:6">
      <c r="A52" s="242">
        <v>7</v>
      </c>
      <c r="B52" s="243" t="s">
        <v>101</v>
      </c>
      <c r="C52" s="244">
        <v>30484</v>
      </c>
      <c r="D52" s="244">
        <v>3524</v>
      </c>
      <c r="E52" s="244">
        <v>939</v>
      </c>
      <c r="F52" s="244">
        <v>1442</v>
      </c>
    </row>
    <row r="53" spans="1:6">
      <c r="A53" s="242">
        <v>7</v>
      </c>
      <c r="B53" s="243" t="s">
        <v>102</v>
      </c>
      <c r="C53" s="244">
        <v>57476</v>
      </c>
      <c r="D53" s="244">
        <v>6161</v>
      </c>
      <c r="E53" s="244">
        <v>2499</v>
      </c>
      <c r="F53" s="244">
        <v>3132</v>
      </c>
    </row>
    <row r="54" spans="1:6" ht="15.75" thickBot="1">
      <c r="A54" s="242">
        <v>8</v>
      </c>
      <c r="B54" s="243" t="s">
        <v>103</v>
      </c>
      <c r="C54" s="244">
        <v>62302</v>
      </c>
      <c r="D54" s="244">
        <v>4644</v>
      </c>
      <c r="E54" s="244">
        <v>581</v>
      </c>
      <c r="F54" s="244">
        <v>2464</v>
      </c>
    </row>
    <row r="55" spans="1:6" ht="15.75" thickBot="1">
      <c r="A55" s="245">
        <v>8</v>
      </c>
      <c r="B55" s="246" t="s">
        <v>104</v>
      </c>
      <c r="C55" s="247">
        <v>89448</v>
      </c>
      <c r="D55" s="247">
        <v>6299</v>
      </c>
      <c r="E55" s="247">
        <v>1456</v>
      </c>
      <c r="F55" s="247">
        <v>2942</v>
      </c>
    </row>
    <row r="56" spans="1:6">
      <c r="A56" s="242">
        <v>8</v>
      </c>
      <c r="B56" s="243" t="s">
        <v>231</v>
      </c>
      <c r="C56" s="244">
        <v>8270</v>
      </c>
      <c r="D56" s="244">
        <v>1104</v>
      </c>
      <c r="E56" s="244">
        <v>208</v>
      </c>
      <c r="F56" s="244">
        <v>554</v>
      </c>
    </row>
    <row r="57" spans="1:6">
      <c r="A57" s="242">
        <v>8</v>
      </c>
      <c r="B57" s="243" t="s">
        <v>106</v>
      </c>
      <c r="C57" s="244">
        <v>2819</v>
      </c>
      <c r="D57" s="244">
        <v>332</v>
      </c>
      <c r="E57" s="244">
        <v>81</v>
      </c>
      <c r="F57" s="244">
        <v>90</v>
      </c>
    </row>
    <row r="58" spans="1:6">
      <c r="A58" s="242">
        <v>8</v>
      </c>
      <c r="B58" s="243" t="s">
        <v>107</v>
      </c>
      <c r="C58" s="244">
        <v>5182</v>
      </c>
      <c r="D58" s="244">
        <v>1028</v>
      </c>
      <c r="E58" s="244">
        <v>456</v>
      </c>
      <c r="F58" s="244">
        <v>313</v>
      </c>
    </row>
    <row r="59" spans="1:6" ht="15.75" thickBot="1">
      <c r="A59" s="242">
        <v>8</v>
      </c>
      <c r="B59" s="243" t="s">
        <v>108</v>
      </c>
      <c r="C59" s="244">
        <v>149586</v>
      </c>
      <c r="D59" s="244">
        <v>12313</v>
      </c>
      <c r="E59" s="244">
        <v>2159</v>
      </c>
      <c r="F59" s="244">
        <v>5785</v>
      </c>
    </row>
    <row r="60" spans="1:6" ht="15.75" thickBot="1">
      <c r="A60" s="245">
        <v>8</v>
      </c>
      <c r="B60" s="246" t="s">
        <v>109</v>
      </c>
      <c r="C60" s="247">
        <v>131896</v>
      </c>
      <c r="D60" s="247">
        <v>9830</v>
      </c>
      <c r="E60" s="247">
        <v>1324</v>
      </c>
      <c r="F60" s="248">
        <v>5525</v>
      </c>
    </row>
    <row r="61" spans="1:6">
      <c r="A61" s="242">
        <v>9</v>
      </c>
      <c r="B61" s="243" t="s">
        <v>110</v>
      </c>
      <c r="C61" s="244">
        <v>41658</v>
      </c>
      <c r="D61" s="244">
        <v>3765</v>
      </c>
      <c r="E61" s="244">
        <v>594</v>
      </c>
      <c r="F61" s="244">
        <v>1559</v>
      </c>
    </row>
    <row r="62" spans="1:6">
      <c r="A62" s="242">
        <v>9</v>
      </c>
      <c r="B62" s="243" t="s">
        <v>111</v>
      </c>
      <c r="C62" s="244">
        <v>45272</v>
      </c>
      <c r="D62" s="244">
        <v>4011</v>
      </c>
      <c r="E62" s="244">
        <v>485</v>
      </c>
      <c r="F62" s="244">
        <v>1781</v>
      </c>
    </row>
    <row r="63" spans="1:6">
      <c r="A63" s="242">
        <v>9</v>
      </c>
      <c r="B63" s="243" t="s">
        <v>112</v>
      </c>
      <c r="C63" s="244">
        <v>8224</v>
      </c>
      <c r="D63" s="244">
        <v>1645</v>
      </c>
      <c r="E63" s="244">
        <v>180</v>
      </c>
      <c r="F63" s="244">
        <v>582</v>
      </c>
    </row>
    <row r="64" spans="1:6">
      <c r="A64" s="242">
        <v>9</v>
      </c>
      <c r="B64" s="243" t="s">
        <v>113</v>
      </c>
      <c r="C64" s="244">
        <v>328378</v>
      </c>
      <c r="D64" s="244">
        <v>30361</v>
      </c>
      <c r="E64" s="244">
        <v>9195</v>
      </c>
      <c r="F64" s="244">
        <v>14217</v>
      </c>
    </row>
    <row r="65" spans="1:6">
      <c r="A65" s="242">
        <v>9</v>
      </c>
      <c r="B65" s="243" t="s">
        <v>114</v>
      </c>
      <c r="C65" s="244">
        <v>57594</v>
      </c>
      <c r="D65" s="244">
        <v>5981</v>
      </c>
      <c r="E65" s="244">
        <v>2149</v>
      </c>
      <c r="F65" s="244">
        <v>2594</v>
      </c>
    </row>
    <row r="66" spans="1:6">
      <c r="A66" s="242">
        <v>10</v>
      </c>
      <c r="B66" s="243" t="s">
        <v>115</v>
      </c>
      <c r="C66" s="244">
        <v>338417</v>
      </c>
      <c r="D66" s="244">
        <v>40324</v>
      </c>
      <c r="E66" s="244">
        <v>13428</v>
      </c>
      <c r="F66" s="244">
        <v>19131</v>
      </c>
    </row>
    <row r="67" spans="1:6" ht="15.75" thickBot="1">
      <c r="A67" s="242">
        <v>11</v>
      </c>
      <c r="B67" s="243" t="s">
        <v>116</v>
      </c>
      <c r="C67" s="244">
        <v>413568</v>
      </c>
      <c r="D67" s="244">
        <v>86645</v>
      </c>
      <c r="E67" s="244">
        <v>94007</v>
      </c>
      <c r="F67" s="244">
        <v>30549</v>
      </c>
    </row>
    <row r="68" spans="1:6" ht="15.75" thickBot="1">
      <c r="A68" s="245">
        <v>11</v>
      </c>
      <c r="B68" s="246" t="s">
        <v>117</v>
      </c>
      <c r="C68" s="247">
        <v>16591</v>
      </c>
      <c r="D68" s="247">
        <v>2075</v>
      </c>
      <c r="E68" s="247">
        <v>844</v>
      </c>
      <c r="F68" s="248">
        <v>744</v>
      </c>
    </row>
  </sheetData>
  <autoFilter ref="A1:F68">
    <sortState ref="A2:F79">
      <sortCondition ref="A1:A7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6"/>
  <sheetViews>
    <sheetView zoomScaleNormal="100" zoomScaleSheetLayoutView="100" workbookViewId="0">
      <selection activeCell="H23" sqref="H23"/>
    </sheetView>
  </sheetViews>
  <sheetFormatPr defaultRowHeight="12.75"/>
  <cols>
    <col min="1" max="1" width="8.21875" style="421" customWidth="1"/>
    <col min="2" max="2" width="13.5546875" style="424" customWidth="1"/>
    <col min="3" max="7" width="15" style="421" customWidth="1"/>
    <col min="8" max="8" width="18.88671875" style="421" customWidth="1"/>
    <col min="9" max="9" width="9.88671875" style="421" customWidth="1"/>
    <col min="10" max="256" width="8.88671875" style="421"/>
    <col min="257" max="257" width="8.21875" style="421" customWidth="1"/>
    <col min="258" max="258" width="13.5546875" style="421" customWidth="1"/>
    <col min="259" max="263" width="15" style="421" customWidth="1"/>
    <col min="264" max="264" width="18.88671875" style="421" customWidth="1"/>
    <col min="265" max="265" width="9.88671875" style="421" customWidth="1"/>
    <col min="266" max="512" width="8.88671875" style="421"/>
    <col min="513" max="513" width="8.21875" style="421" customWidth="1"/>
    <col min="514" max="514" width="13.5546875" style="421" customWidth="1"/>
    <col min="515" max="519" width="15" style="421" customWidth="1"/>
    <col min="520" max="520" width="18.88671875" style="421" customWidth="1"/>
    <col min="521" max="521" width="9.88671875" style="421" customWidth="1"/>
    <col min="522" max="768" width="8.88671875" style="421"/>
    <col min="769" max="769" width="8.21875" style="421" customWidth="1"/>
    <col min="770" max="770" width="13.5546875" style="421" customWidth="1"/>
    <col min="771" max="775" width="15" style="421" customWidth="1"/>
    <col min="776" max="776" width="18.88671875" style="421" customWidth="1"/>
    <col min="777" max="777" width="9.88671875" style="421" customWidth="1"/>
    <col min="778" max="1024" width="8.88671875" style="421"/>
    <col min="1025" max="1025" width="8.21875" style="421" customWidth="1"/>
    <col min="1026" max="1026" width="13.5546875" style="421" customWidth="1"/>
    <col min="1027" max="1031" width="15" style="421" customWidth="1"/>
    <col min="1032" max="1032" width="18.88671875" style="421" customWidth="1"/>
    <col min="1033" max="1033" width="9.88671875" style="421" customWidth="1"/>
    <col min="1034" max="1280" width="8.88671875" style="421"/>
    <col min="1281" max="1281" width="8.21875" style="421" customWidth="1"/>
    <col min="1282" max="1282" width="13.5546875" style="421" customWidth="1"/>
    <col min="1283" max="1287" width="15" style="421" customWidth="1"/>
    <col min="1288" max="1288" width="18.88671875" style="421" customWidth="1"/>
    <col min="1289" max="1289" width="9.88671875" style="421" customWidth="1"/>
    <col min="1290" max="1536" width="8.88671875" style="421"/>
    <col min="1537" max="1537" width="8.21875" style="421" customWidth="1"/>
    <col min="1538" max="1538" width="13.5546875" style="421" customWidth="1"/>
    <col min="1539" max="1543" width="15" style="421" customWidth="1"/>
    <col min="1544" max="1544" width="18.88671875" style="421" customWidth="1"/>
    <col min="1545" max="1545" width="9.88671875" style="421" customWidth="1"/>
    <col min="1546" max="1792" width="8.88671875" style="421"/>
    <col min="1793" max="1793" width="8.21875" style="421" customWidth="1"/>
    <col min="1794" max="1794" width="13.5546875" style="421" customWidth="1"/>
    <col min="1795" max="1799" width="15" style="421" customWidth="1"/>
    <col min="1800" max="1800" width="18.88671875" style="421" customWidth="1"/>
    <col min="1801" max="1801" width="9.88671875" style="421" customWidth="1"/>
    <col min="1802" max="2048" width="8.88671875" style="421"/>
    <col min="2049" max="2049" width="8.21875" style="421" customWidth="1"/>
    <col min="2050" max="2050" width="13.5546875" style="421" customWidth="1"/>
    <col min="2051" max="2055" width="15" style="421" customWidth="1"/>
    <col min="2056" max="2056" width="18.88671875" style="421" customWidth="1"/>
    <col min="2057" max="2057" width="9.88671875" style="421" customWidth="1"/>
    <col min="2058" max="2304" width="8.88671875" style="421"/>
    <col min="2305" max="2305" width="8.21875" style="421" customWidth="1"/>
    <col min="2306" max="2306" width="13.5546875" style="421" customWidth="1"/>
    <col min="2307" max="2311" width="15" style="421" customWidth="1"/>
    <col min="2312" max="2312" width="18.88671875" style="421" customWidth="1"/>
    <col min="2313" max="2313" width="9.88671875" style="421" customWidth="1"/>
    <col min="2314" max="2560" width="8.88671875" style="421"/>
    <col min="2561" max="2561" width="8.21875" style="421" customWidth="1"/>
    <col min="2562" max="2562" width="13.5546875" style="421" customWidth="1"/>
    <col min="2563" max="2567" width="15" style="421" customWidth="1"/>
    <col min="2568" max="2568" width="18.88671875" style="421" customWidth="1"/>
    <col min="2569" max="2569" width="9.88671875" style="421" customWidth="1"/>
    <col min="2570" max="2816" width="8.88671875" style="421"/>
    <col min="2817" max="2817" width="8.21875" style="421" customWidth="1"/>
    <col min="2818" max="2818" width="13.5546875" style="421" customWidth="1"/>
    <col min="2819" max="2823" width="15" style="421" customWidth="1"/>
    <col min="2824" max="2824" width="18.88671875" style="421" customWidth="1"/>
    <col min="2825" max="2825" width="9.88671875" style="421" customWidth="1"/>
    <col min="2826" max="3072" width="8.88671875" style="421"/>
    <col min="3073" max="3073" width="8.21875" style="421" customWidth="1"/>
    <col min="3074" max="3074" width="13.5546875" style="421" customWidth="1"/>
    <col min="3075" max="3079" width="15" style="421" customWidth="1"/>
    <col min="3080" max="3080" width="18.88671875" style="421" customWidth="1"/>
    <col min="3081" max="3081" width="9.88671875" style="421" customWidth="1"/>
    <col min="3082" max="3328" width="8.88671875" style="421"/>
    <col min="3329" max="3329" width="8.21875" style="421" customWidth="1"/>
    <col min="3330" max="3330" width="13.5546875" style="421" customWidth="1"/>
    <col min="3331" max="3335" width="15" style="421" customWidth="1"/>
    <col min="3336" max="3336" width="18.88671875" style="421" customWidth="1"/>
    <col min="3337" max="3337" width="9.88671875" style="421" customWidth="1"/>
    <col min="3338" max="3584" width="8.88671875" style="421"/>
    <col min="3585" max="3585" width="8.21875" style="421" customWidth="1"/>
    <col min="3586" max="3586" width="13.5546875" style="421" customWidth="1"/>
    <col min="3587" max="3591" width="15" style="421" customWidth="1"/>
    <col min="3592" max="3592" width="18.88671875" style="421" customWidth="1"/>
    <col min="3593" max="3593" width="9.88671875" style="421" customWidth="1"/>
    <col min="3594" max="3840" width="8.88671875" style="421"/>
    <col min="3841" max="3841" width="8.21875" style="421" customWidth="1"/>
    <col min="3842" max="3842" width="13.5546875" style="421" customWidth="1"/>
    <col min="3843" max="3847" width="15" style="421" customWidth="1"/>
    <col min="3848" max="3848" width="18.88671875" style="421" customWidth="1"/>
    <col min="3849" max="3849" width="9.88671875" style="421" customWidth="1"/>
    <col min="3850" max="4096" width="8.88671875" style="421"/>
    <col min="4097" max="4097" width="8.21875" style="421" customWidth="1"/>
    <col min="4098" max="4098" width="13.5546875" style="421" customWidth="1"/>
    <col min="4099" max="4103" width="15" style="421" customWidth="1"/>
    <col min="4104" max="4104" width="18.88671875" style="421" customWidth="1"/>
    <col min="4105" max="4105" width="9.88671875" style="421" customWidth="1"/>
    <col min="4106" max="4352" width="8.88671875" style="421"/>
    <col min="4353" max="4353" width="8.21875" style="421" customWidth="1"/>
    <col min="4354" max="4354" width="13.5546875" style="421" customWidth="1"/>
    <col min="4355" max="4359" width="15" style="421" customWidth="1"/>
    <col min="4360" max="4360" width="18.88671875" style="421" customWidth="1"/>
    <col min="4361" max="4361" width="9.88671875" style="421" customWidth="1"/>
    <col min="4362" max="4608" width="8.88671875" style="421"/>
    <col min="4609" max="4609" width="8.21875" style="421" customWidth="1"/>
    <col min="4610" max="4610" width="13.5546875" style="421" customWidth="1"/>
    <col min="4611" max="4615" width="15" style="421" customWidth="1"/>
    <col min="4616" max="4616" width="18.88671875" style="421" customWidth="1"/>
    <col min="4617" max="4617" width="9.88671875" style="421" customWidth="1"/>
    <col min="4618" max="4864" width="8.88671875" style="421"/>
    <col min="4865" max="4865" width="8.21875" style="421" customWidth="1"/>
    <col min="4866" max="4866" width="13.5546875" style="421" customWidth="1"/>
    <col min="4867" max="4871" width="15" style="421" customWidth="1"/>
    <col min="4872" max="4872" width="18.88671875" style="421" customWidth="1"/>
    <col min="4873" max="4873" width="9.88671875" style="421" customWidth="1"/>
    <col min="4874" max="5120" width="8.88671875" style="421"/>
    <col min="5121" max="5121" width="8.21875" style="421" customWidth="1"/>
    <col min="5122" max="5122" width="13.5546875" style="421" customWidth="1"/>
    <col min="5123" max="5127" width="15" style="421" customWidth="1"/>
    <col min="5128" max="5128" width="18.88671875" style="421" customWidth="1"/>
    <col min="5129" max="5129" width="9.88671875" style="421" customWidth="1"/>
    <col min="5130" max="5376" width="8.88671875" style="421"/>
    <col min="5377" max="5377" width="8.21875" style="421" customWidth="1"/>
    <col min="5378" max="5378" width="13.5546875" style="421" customWidth="1"/>
    <col min="5379" max="5383" width="15" style="421" customWidth="1"/>
    <col min="5384" max="5384" width="18.88671875" style="421" customWidth="1"/>
    <col min="5385" max="5385" width="9.88671875" style="421" customWidth="1"/>
    <col min="5386" max="5632" width="8.88671875" style="421"/>
    <col min="5633" max="5633" width="8.21875" style="421" customWidth="1"/>
    <col min="5634" max="5634" width="13.5546875" style="421" customWidth="1"/>
    <col min="5635" max="5639" width="15" style="421" customWidth="1"/>
    <col min="5640" max="5640" width="18.88671875" style="421" customWidth="1"/>
    <col min="5641" max="5641" width="9.88671875" style="421" customWidth="1"/>
    <col min="5642" max="5888" width="8.88671875" style="421"/>
    <col min="5889" max="5889" width="8.21875" style="421" customWidth="1"/>
    <col min="5890" max="5890" width="13.5546875" style="421" customWidth="1"/>
    <col min="5891" max="5895" width="15" style="421" customWidth="1"/>
    <col min="5896" max="5896" width="18.88671875" style="421" customWidth="1"/>
    <col min="5897" max="5897" width="9.88671875" style="421" customWidth="1"/>
    <col min="5898" max="6144" width="8.88671875" style="421"/>
    <col min="6145" max="6145" width="8.21875" style="421" customWidth="1"/>
    <col min="6146" max="6146" width="13.5546875" style="421" customWidth="1"/>
    <col min="6147" max="6151" width="15" style="421" customWidth="1"/>
    <col min="6152" max="6152" width="18.88671875" style="421" customWidth="1"/>
    <col min="6153" max="6153" width="9.88671875" style="421" customWidth="1"/>
    <col min="6154" max="6400" width="8.88671875" style="421"/>
    <col min="6401" max="6401" width="8.21875" style="421" customWidth="1"/>
    <col min="6402" max="6402" width="13.5546875" style="421" customWidth="1"/>
    <col min="6403" max="6407" width="15" style="421" customWidth="1"/>
    <col min="6408" max="6408" width="18.88671875" style="421" customWidth="1"/>
    <col min="6409" max="6409" width="9.88671875" style="421" customWidth="1"/>
    <col min="6410" max="6656" width="8.88671875" style="421"/>
    <col min="6657" max="6657" width="8.21875" style="421" customWidth="1"/>
    <col min="6658" max="6658" width="13.5546875" style="421" customWidth="1"/>
    <col min="6659" max="6663" width="15" style="421" customWidth="1"/>
    <col min="6664" max="6664" width="18.88671875" style="421" customWidth="1"/>
    <col min="6665" max="6665" width="9.88671875" style="421" customWidth="1"/>
    <col min="6666" max="6912" width="8.88671875" style="421"/>
    <col min="6913" max="6913" width="8.21875" style="421" customWidth="1"/>
    <col min="6914" max="6914" width="13.5546875" style="421" customWidth="1"/>
    <col min="6915" max="6919" width="15" style="421" customWidth="1"/>
    <col min="6920" max="6920" width="18.88671875" style="421" customWidth="1"/>
    <col min="6921" max="6921" width="9.88671875" style="421" customWidth="1"/>
    <col min="6922" max="7168" width="8.88671875" style="421"/>
    <col min="7169" max="7169" width="8.21875" style="421" customWidth="1"/>
    <col min="7170" max="7170" width="13.5546875" style="421" customWidth="1"/>
    <col min="7171" max="7175" width="15" style="421" customWidth="1"/>
    <col min="7176" max="7176" width="18.88671875" style="421" customWidth="1"/>
    <col min="7177" max="7177" width="9.88671875" style="421" customWidth="1"/>
    <col min="7178" max="7424" width="8.88671875" style="421"/>
    <col min="7425" max="7425" width="8.21875" style="421" customWidth="1"/>
    <col min="7426" max="7426" width="13.5546875" style="421" customWidth="1"/>
    <col min="7427" max="7431" width="15" style="421" customWidth="1"/>
    <col min="7432" max="7432" width="18.88671875" style="421" customWidth="1"/>
    <col min="7433" max="7433" width="9.88671875" style="421" customWidth="1"/>
    <col min="7434" max="7680" width="8.88671875" style="421"/>
    <col min="7681" max="7681" width="8.21875" style="421" customWidth="1"/>
    <col min="7682" max="7682" width="13.5546875" style="421" customWidth="1"/>
    <col min="7683" max="7687" width="15" style="421" customWidth="1"/>
    <col min="7688" max="7688" width="18.88671875" style="421" customWidth="1"/>
    <col min="7689" max="7689" width="9.88671875" style="421" customWidth="1"/>
    <col min="7690" max="7936" width="8.88671875" style="421"/>
    <col min="7937" max="7937" width="8.21875" style="421" customWidth="1"/>
    <col min="7938" max="7938" width="13.5546875" style="421" customWidth="1"/>
    <col min="7939" max="7943" width="15" style="421" customWidth="1"/>
    <col min="7944" max="7944" width="18.88671875" style="421" customWidth="1"/>
    <col min="7945" max="7945" width="9.88671875" style="421" customWidth="1"/>
    <col min="7946" max="8192" width="8.88671875" style="421"/>
    <col min="8193" max="8193" width="8.21875" style="421" customWidth="1"/>
    <col min="8194" max="8194" width="13.5546875" style="421" customWidth="1"/>
    <col min="8195" max="8199" width="15" style="421" customWidth="1"/>
    <col min="8200" max="8200" width="18.88671875" style="421" customWidth="1"/>
    <col min="8201" max="8201" width="9.88671875" style="421" customWidth="1"/>
    <col min="8202" max="8448" width="8.88671875" style="421"/>
    <col min="8449" max="8449" width="8.21875" style="421" customWidth="1"/>
    <col min="8450" max="8450" width="13.5546875" style="421" customWidth="1"/>
    <col min="8451" max="8455" width="15" style="421" customWidth="1"/>
    <col min="8456" max="8456" width="18.88671875" style="421" customWidth="1"/>
    <col min="8457" max="8457" width="9.88671875" style="421" customWidth="1"/>
    <col min="8458" max="8704" width="8.88671875" style="421"/>
    <col min="8705" max="8705" width="8.21875" style="421" customWidth="1"/>
    <col min="8706" max="8706" width="13.5546875" style="421" customWidth="1"/>
    <col min="8707" max="8711" width="15" style="421" customWidth="1"/>
    <col min="8712" max="8712" width="18.88671875" style="421" customWidth="1"/>
    <col min="8713" max="8713" width="9.88671875" style="421" customWidth="1"/>
    <col min="8714" max="8960" width="8.88671875" style="421"/>
    <col min="8961" max="8961" width="8.21875" style="421" customWidth="1"/>
    <col min="8962" max="8962" width="13.5546875" style="421" customWidth="1"/>
    <col min="8963" max="8967" width="15" style="421" customWidth="1"/>
    <col min="8968" max="8968" width="18.88671875" style="421" customWidth="1"/>
    <col min="8969" max="8969" width="9.88671875" style="421" customWidth="1"/>
    <col min="8970" max="9216" width="8.88671875" style="421"/>
    <col min="9217" max="9217" width="8.21875" style="421" customWidth="1"/>
    <col min="9218" max="9218" width="13.5546875" style="421" customWidth="1"/>
    <col min="9219" max="9223" width="15" style="421" customWidth="1"/>
    <col min="9224" max="9224" width="18.88671875" style="421" customWidth="1"/>
    <col min="9225" max="9225" width="9.88671875" style="421" customWidth="1"/>
    <col min="9226" max="9472" width="8.88671875" style="421"/>
    <col min="9473" max="9473" width="8.21875" style="421" customWidth="1"/>
    <col min="9474" max="9474" width="13.5546875" style="421" customWidth="1"/>
    <col min="9475" max="9479" width="15" style="421" customWidth="1"/>
    <col min="9480" max="9480" width="18.88671875" style="421" customWidth="1"/>
    <col min="9481" max="9481" width="9.88671875" style="421" customWidth="1"/>
    <col min="9482" max="9728" width="8.88671875" style="421"/>
    <col min="9729" max="9729" width="8.21875" style="421" customWidth="1"/>
    <col min="9730" max="9730" width="13.5546875" style="421" customWidth="1"/>
    <col min="9731" max="9735" width="15" style="421" customWidth="1"/>
    <col min="9736" max="9736" width="18.88671875" style="421" customWidth="1"/>
    <col min="9737" max="9737" width="9.88671875" style="421" customWidth="1"/>
    <col min="9738" max="9984" width="8.88671875" style="421"/>
    <col min="9985" max="9985" width="8.21875" style="421" customWidth="1"/>
    <col min="9986" max="9986" width="13.5546875" style="421" customWidth="1"/>
    <col min="9987" max="9991" width="15" style="421" customWidth="1"/>
    <col min="9992" max="9992" width="18.88671875" style="421" customWidth="1"/>
    <col min="9993" max="9993" width="9.88671875" style="421" customWidth="1"/>
    <col min="9994" max="10240" width="8.88671875" style="421"/>
    <col min="10241" max="10241" width="8.21875" style="421" customWidth="1"/>
    <col min="10242" max="10242" width="13.5546875" style="421" customWidth="1"/>
    <col min="10243" max="10247" width="15" style="421" customWidth="1"/>
    <col min="10248" max="10248" width="18.88671875" style="421" customWidth="1"/>
    <col min="10249" max="10249" width="9.88671875" style="421" customWidth="1"/>
    <col min="10250" max="10496" width="8.88671875" style="421"/>
    <col min="10497" max="10497" width="8.21875" style="421" customWidth="1"/>
    <col min="10498" max="10498" width="13.5546875" style="421" customWidth="1"/>
    <col min="10499" max="10503" width="15" style="421" customWidth="1"/>
    <col min="10504" max="10504" width="18.88671875" style="421" customWidth="1"/>
    <col min="10505" max="10505" width="9.88671875" style="421" customWidth="1"/>
    <col min="10506" max="10752" width="8.88671875" style="421"/>
    <col min="10753" max="10753" width="8.21875" style="421" customWidth="1"/>
    <col min="10754" max="10754" width="13.5546875" style="421" customWidth="1"/>
    <col min="10755" max="10759" width="15" style="421" customWidth="1"/>
    <col min="10760" max="10760" width="18.88671875" style="421" customWidth="1"/>
    <col min="10761" max="10761" width="9.88671875" style="421" customWidth="1"/>
    <col min="10762" max="11008" width="8.88671875" style="421"/>
    <col min="11009" max="11009" width="8.21875" style="421" customWidth="1"/>
    <col min="11010" max="11010" width="13.5546875" style="421" customWidth="1"/>
    <col min="11011" max="11015" width="15" style="421" customWidth="1"/>
    <col min="11016" max="11016" width="18.88671875" style="421" customWidth="1"/>
    <col min="11017" max="11017" width="9.88671875" style="421" customWidth="1"/>
    <col min="11018" max="11264" width="8.88671875" style="421"/>
    <col min="11265" max="11265" width="8.21875" style="421" customWidth="1"/>
    <col min="11266" max="11266" width="13.5546875" style="421" customWidth="1"/>
    <col min="11267" max="11271" width="15" style="421" customWidth="1"/>
    <col min="11272" max="11272" width="18.88671875" style="421" customWidth="1"/>
    <col min="11273" max="11273" width="9.88671875" style="421" customWidth="1"/>
    <col min="11274" max="11520" width="8.88671875" style="421"/>
    <col min="11521" max="11521" width="8.21875" style="421" customWidth="1"/>
    <col min="11522" max="11522" width="13.5546875" style="421" customWidth="1"/>
    <col min="11523" max="11527" width="15" style="421" customWidth="1"/>
    <col min="11528" max="11528" width="18.88671875" style="421" customWidth="1"/>
    <col min="11529" max="11529" width="9.88671875" style="421" customWidth="1"/>
    <col min="11530" max="11776" width="8.88671875" style="421"/>
    <col min="11777" max="11777" width="8.21875" style="421" customWidth="1"/>
    <col min="11778" max="11778" width="13.5546875" style="421" customWidth="1"/>
    <col min="11779" max="11783" width="15" style="421" customWidth="1"/>
    <col min="11784" max="11784" width="18.88671875" style="421" customWidth="1"/>
    <col min="11785" max="11785" width="9.88671875" style="421" customWidth="1"/>
    <col min="11786" max="12032" width="8.88671875" style="421"/>
    <col min="12033" max="12033" width="8.21875" style="421" customWidth="1"/>
    <col min="12034" max="12034" width="13.5546875" style="421" customWidth="1"/>
    <col min="12035" max="12039" width="15" style="421" customWidth="1"/>
    <col min="12040" max="12040" width="18.88671875" style="421" customWidth="1"/>
    <col min="12041" max="12041" width="9.88671875" style="421" customWidth="1"/>
    <col min="12042" max="12288" width="8.88671875" style="421"/>
    <col min="12289" max="12289" width="8.21875" style="421" customWidth="1"/>
    <col min="12290" max="12290" width="13.5546875" style="421" customWidth="1"/>
    <col min="12291" max="12295" width="15" style="421" customWidth="1"/>
    <col min="12296" max="12296" width="18.88671875" style="421" customWidth="1"/>
    <col min="12297" max="12297" width="9.88671875" style="421" customWidth="1"/>
    <col min="12298" max="12544" width="8.88671875" style="421"/>
    <col min="12545" max="12545" width="8.21875" style="421" customWidth="1"/>
    <col min="12546" max="12546" width="13.5546875" style="421" customWidth="1"/>
    <col min="12547" max="12551" width="15" style="421" customWidth="1"/>
    <col min="12552" max="12552" width="18.88671875" style="421" customWidth="1"/>
    <col min="12553" max="12553" width="9.88671875" style="421" customWidth="1"/>
    <col min="12554" max="12800" width="8.88671875" style="421"/>
    <col min="12801" max="12801" width="8.21875" style="421" customWidth="1"/>
    <col min="12802" max="12802" width="13.5546875" style="421" customWidth="1"/>
    <col min="12803" max="12807" width="15" style="421" customWidth="1"/>
    <col min="12808" max="12808" width="18.88671875" style="421" customWidth="1"/>
    <col min="12809" max="12809" width="9.88671875" style="421" customWidth="1"/>
    <col min="12810" max="13056" width="8.88671875" style="421"/>
    <col min="13057" max="13057" width="8.21875" style="421" customWidth="1"/>
    <col min="13058" max="13058" width="13.5546875" style="421" customWidth="1"/>
    <col min="13059" max="13063" width="15" style="421" customWidth="1"/>
    <col min="13064" max="13064" width="18.88671875" style="421" customWidth="1"/>
    <col min="13065" max="13065" width="9.88671875" style="421" customWidth="1"/>
    <col min="13066" max="13312" width="8.88671875" style="421"/>
    <col min="13313" max="13313" width="8.21875" style="421" customWidth="1"/>
    <col min="13314" max="13314" width="13.5546875" style="421" customWidth="1"/>
    <col min="13315" max="13319" width="15" style="421" customWidth="1"/>
    <col min="13320" max="13320" width="18.88671875" style="421" customWidth="1"/>
    <col min="13321" max="13321" width="9.88671875" style="421" customWidth="1"/>
    <col min="13322" max="13568" width="8.88671875" style="421"/>
    <col min="13569" max="13569" width="8.21875" style="421" customWidth="1"/>
    <col min="13570" max="13570" width="13.5546875" style="421" customWidth="1"/>
    <col min="13571" max="13575" width="15" style="421" customWidth="1"/>
    <col min="13576" max="13576" width="18.88671875" style="421" customWidth="1"/>
    <col min="13577" max="13577" width="9.88671875" style="421" customWidth="1"/>
    <col min="13578" max="13824" width="8.88671875" style="421"/>
    <col min="13825" max="13825" width="8.21875" style="421" customWidth="1"/>
    <col min="13826" max="13826" width="13.5546875" style="421" customWidth="1"/>
    <col min="13827" max="13831" width="15" style="421" customWidth="1"/>
    <col min="13832" max="13832" width="18.88671875" style="421" customWidth="1"/>
    <col min="13833" max="13833" width="9.88671875" style="421" customWidth="1"/>
    <col min="13834" max="14080" width="8.88671875" style="421"/>
    <col min="14081" max="14081" width="8.21875" style="421" customWidth="1"/>
    <col min="14082" max="14082" width="13.5546875" style="421" customWidth="1"/>
    <col min="14083" max="14087" width="15" style="421" customWidth="1"/>
    <col min="14088" max="14088" width="18.88671875" style="421" customWidth="1"/>
    <col min="14089" max="14089" width="9.88671875" style="421" customWidth="1"/>
    <col min="14090" max="14336" width="8.88671875" style="421"/>
    <col min="14337" max="14337" width="8.21875" style="421" customWidth="1"/>
    <col min="14338" max="14338" width="13.5546875" style="421" customWidth="1"/>
    <col min="14339" max="14343" width="15" style="421" customWidth="1"/>
    <col min="14344" max="14344" width="18.88671875" style="421" customWidth="1"/>
    <col min="14345" max="14345" width="9.88671875" style="421" customWidth="1"/>
    <col min="14346" max="14592" width="8.88671875" style="421"/>
    <col min="14593" max="14593" width="8.21875" style="421" customWidth="1"/>
    <col min="14594" max="14594" width="13.5546875" style="421" customWidth="1"/>
    <col min="14595" max="14599" width="15" style="421" customWidth="1"/>
    <col min="14600" max="14600" width="18.88671875" style="421" customWidth="1"/>
    <col min="14601" max="14601" width="9.88671875" style="421" customWidth="1"/>
    <col min="14602" max="14848" width="8.88671875" style="421"/>
    <col min="14849" max="14849" width="8.21875" style="421" customWidth="1"/>
    <col min="14850" max="14850" width="13.5546875" style="421" customWidth="1"/>
    <col min="14851" max="14855" width="15" style="421" customWidth="1"/>
    <col min="14856" max="14856" width="18.88671875" style="421" customWidth="1"/>
    <col min="14857" max="14857" width="9.88671875" style="421" customWidth="1"/>
    <col min="14858" max="15104" width="8.88671875" style="421"/>
    <col min="15105" max="15105" width="8.21875" style="421" customWidth="1"/>
    <col min="15106" max="15106" width="13.5546875" style="421" customWidth="1"/>
    <col min="15107" max="15111" width="15" style="421" customWidth="1"/>
    <col min="15112" max="15112" width="18.88671875" style="421" customWidth="1"/>
    <col min="15113" max="15113" width="9.88671875" style="421" customWidth="1"/>
    <col min="15114" max="15360" width="8.88671875" style="421"/>
    <col min="15361" max="15361" width="8.21875" style="421" customWidth="1"/>
    <col min="15362" max="15362" width="13.5546875" style="421" customWidth="1"/>
    <col min="15363" max="15367" width="15" style="421" customWidth="1"/>
    <col min="15368" max="15368" width="18.88671875" style="421" customWidth="1"/>
    <col min="15369" max="15369" width="9.88671875" style="421" customWidth="1"/>
    <col min="15370" max="15616" width="8.88671875" style="421"/>
    <col min="15617" max="15617" width="8.21875" style="421" customWidth="1"/>
    <col min="15618" max="15618" width="13.5546875" style="421" customWidth="1"/>
    <col min="15619" max="15623" width="15" style="421" customWidth="1"/>
    <col min="15624" max="15624" width="18.88671875" style="421" customWidth="1"/>
    <col min="15625" max="15625" width="9.88671875" style="421" customWidth="1"/>
    <col min="15626" max="15872" width="8.88671875" style="421"/>
    <col min="15873" max="15873" width="8.21875" style="421" customWidth="1"/>
    <col min="15874" max="15874" width="13.5546875" style="421" customWidth="1"/>
    <col min="15875" max="15879" width="15" style="421" customWidth="1"/>
    <col min="15880" max="15880" width="18.88671875" style="421" customWidth="1"/>
    <col min="15881" max="15881" width="9.88671875" style="421" customWidth="1"/>
    <col min="15882" max="16128" width="8.88671875" style="421"/>
    <col min="16129" max="16129" width="8.21875" style="421" customWidth="1"/>
    <col min="16130" max="16130" width="13.5546875" style="421" customWidth="1"/>
    <col min="16131" max="16135" width="15" style="421" customWidth="1"/>
    <col min="16136" max="16136" width="18.88671875" style="421" customWidth="1"/>
    <col min="16137" max="16137" width="9.88671875" style="421" customWidth="1"/>
    <col min="16138" max="16384" width="8.88671875" style="421"/>
  </cols>
  <sheetData>
    <row r="2" spans="1:9" ht="15">
      <c r="A2" s="486"/>
      <c r="B2" s="486"/>
      <c r="I2" s="422">
        <f ca="1">TODAY( )</f>
        <v>41541</v>
      </c>
    </row>
    <row r="3" spans="1:9">
      <c r="A3" s="423"/>
    </row>
    <row r="4" spans="1:9" ht="20.25">
      <c r="A4" s="425" t="s">
        <v>268</v>
      </c>
      <c r="B4" s="426"/>
      <c r="C4" s="425"/>
      <c r="D4" s="425"/>
      <c r="E4" s="425"/>
    </row>
    <row r="6" spans="1:9" ht="13.5" thickBot="1"/>
    <row r="7" spans="1:9">
      <c r="A7" s="427" t="s">
        <v>269</v>
      </c>
      <c r="B7" s="428" t="s">
        <v>270</v>
      </c>
      <c r="C7" s="428" t="s">
        <v>271</v>
      </c>
      <c r="D7" s="429" t="s">
        <v>272</v>
      </c>
      <c r="E7" s="428" t="s">
        <v>273</v>
      </c>
      <c r="F7" s="428" t="s">
        <v>274</v>
      </c>
      <c r="G7" s="428" t="s">
        <v>275</v>
      </c>
      <c r="H7" s="428" t="s">
        <v>276</v>
      </c>
      <c r="I7" s="430" t="s">
        <v>124</v>
      </c>
    </row>
    <row r="8" spans="1:9">
      <c r="A8" s="431"/>
      <c r="B8" s="432"/>
      <c r="C8" s="433"/>
      <c r="D8" s="434"/>
      <c r="E8" s="433"/>
      <c r="F8" s="433"/>
      <c r="G8" s="433"/>
      <c r="H8" s="433"/>
      <c r="I8" s="435"/>
    </row>
    <row r="9" spans="1:9">
      <c r="A9" s="436">
        <v>1</v>
      </c>
      <c r="B9" s="432" t="s">
        <v>277</v>
      </c>
      <c r="C9" s="437">
        <v>36543.260000000009</v>
      </c>
      <c r="D9" s="438">
        <v>65929.530000000028</v>
      </c>
      <c r="E9" s="439">
        <v>71359.969999999972</v>
      </c>
      <c r="F9" s="438">
        <v>24867.969999999972</v>
      </c>
      <c r="G9" s="438">
        <v>36113.72</v>
      </c>
      <c r="H9" s="438">
        <f t="shared" ref="H9:H19" si="0">SUM(C9:G9)</f>
        <v>234814.44999999998</v>
      </c>
      <c r="I9" s="440">
        <f>H9/SUM([1]ADMIN!$C$8+[1]ADMIN!D8+[1]ADMIN!E9+'[1]III B'!C8+'[1]III B'!D9+'[1]III C1'!C8+'[1]III C1'!D9+'[1]III C2 '!C8+'[1]III C2 '!D9+'[1]III E'!C8+'[1]III E'!D9)</f>
        <v>8.2228254016427041E-2</v>
      </c>
    </row>
    <row r="10" spans="1:9">
      <c r="A10" s="436">
        <v>2</v>
      </c>
      <c r="B10" s="432" t="s">
        <v>278</v>
      </c>
      <c r="C10" s="438">
        <v>22126.200000000012</v>
      </c>
      <c r="D10" s="434">
        <v>0</v>
      </c>
      <c r="E10" s="438">
        <v>0</v>
      </c>
      <c r="F10" s="438">
        <v>0</v>
      </c>
      <c r="G10" s="438">
        <v>20147.010000000009</v>
      </c>
      <c r="H10" s="438">
        <f t="shared" si="0"/>
        <v>42273.210000000021</v>
      </c>
      <c r="I10" s="440">
        <f>H10/SUM([1]ADMIN!$C$11+[1]ADMIN!D11+[1]ADMIN!E12+'[1]III B'!C11+'[1]III B'!D12+'[1]III C1'!D12+'[1]III C1'!C11+'[1]III C2 '!C11+'[1]III C2 '!D12+'[1]III E'!C11+'[1]III E'!D12)</f>
        <v>1.3012370669719844E-2</v>
      </c>
    </row>
    <row r="11" spans="1:9">
      <c r="A11" s="436">
        <v>3</v>
      </c>
      <c r="B11" s="432" t="s">
        <v>279</v>
      </c>
      <c r="C11" s="438">
        <v>60676.359999999986</v>
      </c>
      <c r="D11" s="434">
        <v>116691.08000000007</v>
      </c>
      <c r="E11" s="438">
        <v>9301.2700000000186</v>
      </c>
      <c r="F11" s="438">
        <v>8669.6299999998882</v>
      </c>
      <c r="G11" s="438">
        <v>43955.199999999953</v>
      </c>
      <c r="H11" s="438">
        <f t="shared" si="0"/>
        <v>239293.53999999992</v>
      </c>
      <c r="I11" s="440">
        <f>H11/SUM([1]ADMIN!$C$14+[1]ADMIN!D14+[1]ADMIN!E15+'[1]III B'!C14+'[1]III B'!D15+'[1]III C1'!C14+'[1]III C1'!D15+'[1]III C2 '!C14+'[1]III C2 '!D15+'[1]III E'!C14+'[1]III E'!D15)</f>
        <v>2.7885595051808199E-2</v>
      </c>
    </row>
    <row r="12" spans="1:9">
      <c r="A12" s="436">
        <v>4</v>
      </c>
      <c r="B12" s="432" t="s">
        <v>280</v>
      </c>
      <c r="C12" s="438">
        <v>32289.510000000009</v>
      </c>
      <c r="D12" s="434">
        <v>31969.64000000013</v>
      </c>
      <c r="E12" s="438">
        <v>0</v>
      </c>
      <c r="F12" s="438">
        <v>0</v>
      </c>
      <c r="G12" s="438">
        <v>28913.339999999967</v>
      </c>
      <c r="H12" s="438">
        <f t="shared" si="0"/>
        <v>93172.490000000107</v>
      </c>
      <c r="I12" s="440">
        <f>H12/SUM([1]ADMIN!$C$17+[1]ADMIN!D17+[1]ADMIN!E18+'[1]III B'!C17+'[1]III B'!D18+'[1]III C1'!D18+'[1]III C2 '!D18+'[1]III C1'!C17+'[1]III C2 '!C17+'[1]III E'!C17+'[1]III E'!D18)</f>
        <v>1.2765503840861685E-2</v>
      </c>
    </row>
    <row r="13" spans="1:9">
      <c r="A13" s="436">
        <v>5</v>
      </c>
      <c r="B13" s="432" t="s">
        <v>281</v>
      </c>
      <c r="C13" s="438">
        <v>102088.94999999995</v>
      </c>
      <c r="D13" s="434">
        <v>48913.089999999851</v>
      </c>
      <c r="E13" s="438">
        <v>0</v>
      </c>
      <c r="F13" s="438">
        <v>0</v>
      </c>
      <c r="G13" s="438">
        <v>51664.890000000014</v>
      </c>
      <c r="H13" s="438">
        <f t="shared" si="0"/>
        <v>202666.92999999982</v>
      </c>
      <c r="I13" s="440">
        <f>H13/SUM([1]ADMIN!$C$20+[1]ADMIN!D20+[1]ADMIN!E21+'[1]III B'!C20+'[1]III B'!D21+'[1]III C1'!C20+'[1]III C1'!D21+'[1]III C2 '!C20+'[1]III C2 '!D21+'[1]III E'!C20+'[1]III E'!D21)</f>
        <v>2.9871475671644752E-2</v>
      </c>
    </row>
    <row r="14" spans="1:9">
      <c r="A14" s="436">
        <v>6</v>
      </c>
      <c r="B14" s="432" t="s">
        <v>282</v>
      </c>
      <c r="C14" s="438">
        <v>87516.809999999939</v>
      </c>
      <c r="D14" s="434">
        <v>167999.60999999987</v>
      </c>
      <c r="E14" s="438">
        <v>35017.350000000093</v>
      </c>
      <c r="F14" s="438">
        <v>6781.8199999998324</v>
      </c>
      <c r="G14" s="438">
        <v>20088.199999999953</v>
      </c>
      <c r="H14" s="438">
        <f t="shared" si="0"/>
        <v>317403.78999999969</v>
      </c>
      <c r="I14" s="440">
        <f>H14/SUM([1]ADMIN!$C$23+[1]ADMIN!D23+[1]ADMIN!E24+'[1]III B'!C23+'[1]III B'!D24+'[1]III C1'!C23+'[1]III C1'!D24+'[1]III C2 '!C23+'[1]III C2 '!D24+'[1]III E'!C23+'[1]III E'!D24)</f>
        <v>3.343526920110302E-2</v>
      </c>
    </row>
    <row r="15" spans="1:9">
      <c r="A15" s="436">
        <v>7</v>
      </c>
      <c r="B15" s="432" t="s">
        <v>283</v>
      </c>
      <c r="C15" s="438">
        <v>188898.34999999998</v>
      </c>
      <c r="D15" s="434">
        <v>97700.810000000056</v>
      </c>
      <c r="E15" s="438">
        <v>0</v>
      </c>
      <c r="F15" s="438">
        <v>0</v>
      </c>
      <c r="G15" s="438">
        <v>8463.4200000000419</v>
      </c>
      <c r="H15" s="438">
        <f t="shared" si="0"/>
        <v>295062.58000000007</v>
      </c>
      <c r="I15" s="440">
        <f>H15/SUM([1]ADMIN!$C$26+[1]ADMIN!D26+[1]ADMIN!E27+'[1]III B'!C26+'[1]III B'!D27+'[1]III C1'!C26+'[1]III C1'!D27+'[1]III C2 '!C26+'[1]III C2 '!D27+'[1]III E'!C26+'[1]III E'!D27)</f>
        <v>4.1214280881863644E-2</v>
      </c>
    </row>
    <row r="16" spans="1:9">
      <c r="A16" s="436">
        <v>8</v>
      </c>
      <c r="B16" s="432" t="s">
        <v>284</v>
      </c>
      <c r="C16" s="438">
        <v>0</v>
      </c>
      <c r="D16" s="434">
        <v>206589.04999999981</v>
      </c>
      <c r="E16" s="438">
        <v>0</v>
      </c>
      <c r="F16" s="438">
        <v>0</v>
      </c>
      <c r="G16" s="438">
        <v>0</v>
      </c>
      <c r="H16" s="438">
        <f t="shared" si="0"/>
        <v>206589.04999999981</v>
      </c>
      <c r="I16" s="440">
        <f>H16/SUM([1]ADMIN!$C$30+[1]ADMIN!D30+[1]ADMIN!E31+'[1]III B'!C29+'[1]III B'!D30+'[1]III C1'!C29+'[1]III C1'!D30+'[1]III C2 '!C29+'[1]III C2 '!D30+'[1]III E'!C29+'[1]III E'!D30)</f>
        <v>2.8711779314503933E-2</v>
      </c>
    </row>
    <row r="17" spans="1:9">
      <c r="A17" s="436">
        <v>9</v>
      </c>
      <c r="B17" s="432" t="s">
        <v>285</v>
      </c>
      <c r="C17" s="438">
        <v>0</v>
      </c>
      <c r="D17" s="434">
        <v>0</v>
      </c>
      <c r="E17" s="438">
        <v>35160.830000000075</v>
      </c>
      <c r="F17" s="438">
        <v>27197.850000000093</v>
      </c>
      <c r="G17" s="438">
        <v>0</v>
      </c>
      <c r="H17" s="438">
        <f t="shared" si="0"/>
        <v>62358.680000000168</v>
      </c>
      <c r="I17" s="440">
        <f>H17/SUM([1]ADMIN!$C$33+[1]ADMIN!D33+[1]ADMIN!E34+'[1]III B'!C32+'[1]III B'!D33+'[1]III C1'!C32+'[1]III C1'!D33+'[1]III C2 '!C32+'[1]III C2 '!D33+'[1]III E'!C32+'[1]III E'!D33)</f>
        <v>7.3989729920295724E-3</v>
      </c>
    </row>
    <row r="18" spans="1:9">
      <c r="A18" s="436">
        <v>10</v>
      </c>
      <c r="B18" s="432" t="s">
        <v>286</v>
      </c>
      <c r="C18" s="438">
        <v>154305.74000000005</v>
      </c>
      <c r="D18" s="434">
        <v>262625.04000000004</v>
      </c>
      <c r="E18" s="438">
        <v>313433</v>
      </c>
      <c r="F18" s="438">
        <v>80038.100000000093</v>
      </c>
      <c r="G18" s="438">
        <v>171095.70999999996</v>
      </c>
      <c r="H18" s="438">
        <f t="shared" si="0"/>
        <v>981497.59000000008</v>
      </c>
      <c r="I18" s="440">
        <f>H18/SUM([1]ADMIN!$C$36+[1]ADMIN!D36+[1]ADMIN!E37+'[1]III B'!C35+'[1]III B'!D36+'[1]III C1'!C35+'[1]III C1'!D36+'[1]III C2 '!C35+'[1]III C2 '!D36+'[1]III E'!C35+'[1]III E'!D36)</f>
        <v>0.12153612840673801</v>
      </c>
    </row>
    <row r="19" spans="1:9">
      <c r="A19" s="436">
        <v>11</v>
      </c>
      <c r="B19" s="432" t="s">
        <v>287</v>
      </c>
      <c r="C19" s="438">
        <v>0</v>
      </c>
      <c r="D19" s="434">
        <v>14564.259999999776</v>
      </c>
      <c r="E19" s="438">
        <v>59907.740000000224</v>
      </c>
      <c r="F19" s="438">
        <v>6627.5200000000186</v>
      </c>
      <c r="G19" s="438">
        <v>135237.04000000004</v>
      </c>
      <c r="H19" s="438">
        <f t="shared" si="0"/>
        <v>216336.56000000006</v>
      </c>
      <c r="I19" s="440">
        <f>H19/SUM([1]ADMIN!$C$39+[1]ADMIN!D39+[1]ADMIN!E40+'[1]III B'!C39+'[1]III B'!D40+'[1]III C1'!C39+'[1]III C1'!D40+'[1]III C2 '!C39+'[1]III C2 '!D40+'[1]III E'!C38+'[1]III E'!D39)</f>
        <v>1.3518117857756889E-2</v>
      </c>
    </row>
    <row r="20" spans="1:9">
      <c r="A20" s="431"/>
      <c r="B20" s="432"/>
      <c r="C20" s="433"/>
      <c r="D20" s="438"/>
      <c r="E20" s="438"/>
      <c r="F20" s="438"/>
      <c r="G20" s="438"/>
      <c r="H20" s="438"/>
      <c r="I20" s="440"/>
    </row>
    <row r="21" spans="1:9" ht="13.5" thickBot="1">
      <c r="A21" s="441" t="s">
        <v>288</v>
      </c>
      <c r="B21" s="442"/>
      <c r="C21" s="443">
        <f>SUM(C9:C20)</f>
        <v>684445.17999999993</v>
      </c>
      <c r="D21" s="443">
        <f>SUM(D9:D19)</f>
        <v>1012982.1099999996</v>
      </c>
      <c r="E21" s="443">
        <f>SUM(E9:E19)</f>
        <v>524180.16000000038</v>
      </c>
      <c r="F21" s="443">
        <f>SUM(F9:F19)</f>
        <v>154182.8899999999</v>
      </c>
      <c r="G21" s="443">
        <f>SUM(G9:G19)</f>
        <v>515678.52999999991</v>
      </c>
      <c r="H21" s="443">
        <f>SUM(H9:H19)</f>
        <v>2891468.8699999996</v>
      </c>
      <c r="I21" s="444">
        <f>H21/SUM([1]ADMIN!$C$42+[1]ADMIN!D42+[1]ADMIN!E43+'[1]III B'!C42+'[1]III B'!D43+'[1]III C1'!C42+'[1]III C1'!D43+'[1]III C2 '!C42+'[1]III C2 '!D43+'[1]III E'!C41+'[1]III E'!D42)</f>
        <v>3.3967798532732719E-2</v>
      </c>
    </row>
    <row r="23" spans="1:9">
      <c r="H23" s="445">
        <f>+H21+'2012 CF IIID'!E21</f>
        <v>3022114.51</v>
      </c>
    </row>
    <row r="24" spans="1:9">
      <c r="H24" s="422"/>
    </row>
    <row r="25" spans="1:9">
      <c r="G25" s="422"/>
    </row>
    <row r="26" spans="1:9">
      <c r="B26" s="424" t="s">
        <v>0</v>
      </c>
    </row>
  </sheetData>
  <sortState ref="A9:I29">
    <sortCondition ref="A9:A29"/>
  </sortState>
  <mergeCells count="1">
    <mergeCell ref="A2:B2"/>
  </mergeCells>
  <printOptions horizontalCentered="1"/>
  <pageMargins left="0" right="0.75" top="1" bottom="1" header="0.5" footer="0.5"/>
  <pageSetup paperSize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6"/>
  <sheetViews>
    <sheetView zoomScaleNormal="100" zoomScaleSheetLayoutView="110" workbookViewId="0">
      <selection activeCell="C24" sqref="C24"/>
    </sheetView>
  </sheetViews>
  <sheetFormatPr defaultRowHeight="12.75"/>
  <cols>
    <col min="1" max="1" width="9.88671875" style="421" customWidth="1"/>
    <col min="2" max="2" width="19" style="424" customWidth="1"/>
    <col min="3" max="3" width="17.21875" style="421" customWidth="1"/>
    <col min="4" max="4" width="16.88671875" style="421" customWidth="1"/>
    <col min="5" max="5" width="18.109375" style="421" customWidth="1"/>
    <col min="6" max="6" width="13.88671875" style="421" customWidth="1"/>
    <col min="7" max="256" width="8.88671875" style="421"/>
    <col min="257" max="257" width="9.88671875" style="421" customWidth="1"/>
    <col min="258" max="258" width="19" style="421" customWidth="1"/>
    <col min="259" max="259" width="17.21875" style="421" customWidth="1"/>
    <col min="260" max="260" width="16.88671875" style="421" customWidth="1"/>
    <col min="261" max="261" width="18.109375" style="421" customWidth="1"/>
    <col min="262" max="262" width="13.88671875" style="421" customWidth="1"/>
    <col min="263" max="512" width="8.88671875" style="421"/>
    <col min="513" max="513" width="9.88671875" style="421" customWidth="1"/>
    <col min="514" max="514" width="19" style="421" customWidth="1"/>
    <col min="515" max="515" width="17.21875" style="421" customWidth="1"/>
    <col min="516" max="516" width="16.88671875" style="421" customWidth="1"/>
    <col min="517" max="517" width="18.109375" style="421" customWidth="1"/>
    <col min="518" max="518" width="13.88671875" style="421" customWidth="1"/>
    <col min="519" max="768" width="8.88671875" style="421"/>
    <col min="769" max="769" width="9.88671875" style="421" customWidth="1"/>
    <col min="770" max="770" width="19" style="421" customWidth="1"/>
    <col min="771" max="771" width="17.21875" style="421" customWidth="1"/>
    <col min="772" max="772" width="16.88671875" style="421" customWidth="1"/>
    <col min="773" max="773" width="18.109375" style="421" customWidth="1"/>
    <col min="774" max="774" width="13.88671875" style="421" customWidth="1"/>
    <col min="775" max="1024" width="8.88671875" style="421"/>
    <col min="1025" max="1025" width="9.88671875" style="421" customWidth="1"/>
    <col min="1026" max="1026" width="19" style="421" customWidth="1"/>
    <col min="1027" max="1027" width="17.21875" style="421" customWidth="1"/>
    <col min="1028" max="1028" width="16.88671875" style="421" customWidth="1"/>
    <col min="1029" max="1029" width="18.109375" style="421" customWidth="1"/>
    <col min="1030" max="1030" width="13.88671875" style="421" customWidth="1"/>
    <col min="1031" max="1280" width="8.88671875" style="421"/>
    <col min="1281" max="1281" width="9.88671875" style="421" customWidth="1"/>
    <col min="1282" max="1282" width="19" style="421" customWidth="1"/>
    <col min="1283" max="1283" width="17.21875" style="421" customWidth="1"/>
    <col min="1284" max="1284" width="16.88671875" style="421" customWidth="1"/>
    <col min="1285" max="1285" width="18.109375" style="421" customWidth="1"/>
    <col min="1286" max="1286" width="13.88671875" style="421" customWidth="1"/>
    <col min="1287" max="1536" width="8.88671875" style="421"/>
    <col min="1537" max="1537" width="9.88671875" style="421" customWidth="1"/>
    <col min="1538" max="1538" width="19" style="421" customWidth="1"/>
    <col min="1539" max="1539" width="17.21875" style="421" customWidth="1"/>
    <col min="1540" max="1540" width="16.88671875" style="421" customWidth="1"/>
    <col min="1541" max="1541" width="18.109375" style="421" customWidth="1"/>
    <col min="1542" max="1542" width="13.88671875" style="421" customWidth="1"/>
    <col min="1543" max="1792" width="8.88671875" style="421"/>
    <col min="1793" max="1793" width="9.88671875" style="421" customWidth="1"/>
    <col min="1794" max="1794" width="19" style="421" customWidth="1"/>
    <col min="1795" max="1795" width="17.21875" style="421" customWidth="1"/>
    <col min="1796" max="1796" width="16.88671875" style="421" customWidth="1"/>
    <col min="1797" max="1797" width="18.109375" style="421" customWidth="1"/>
    <col min="1798" max="1798" width="13.88671875" style="421" customWidth="1"/>
    <col min="1799" max="2048" width="8.88671875" style="421"/>
    <col min="2049" max="2049" width="9.88671875" style="421" customWidth="1"/>
    <col min="2050" max="2050" width="19" style="421" customWidth="1"/>
    <col min="2051" max="2051" width="17.21875" style="421" customWidth="1"/>
    <col min="2052" max="2052" width="16.88671875" style="421" customWidth="1"/>
    <col min="2053" max="2053" width="18.109375" style="421" customWidth="1"/>
    <col min="2054" max="2054" width="13.88671875" style="421" customWidth="1"/>
    <col min="2055" max="2304" width="8.88671875" style="421"/>
    <col min="2305" max="2305" width="9.88671875" style="421" customWidth="1"/>
    <col min="2306" max="2306" width="19" style="421" customWidth="1"/>
    <col min="2307" max="2307" width="17.21875" style="421" customWidth="1"/>
    <col min="2308" max="2308" width="16.88671875" style="421" customWidth="1"/>
    <col min="2309" max="2309" width="18.109375" style="421" customWidth="1"/>
    <col min="2310" max="2310" width="13.88671875" style="421" customWidth="1"/>
    <col min="2311" max="2560" width="8.88671875" style="421"/>
    <col min="2561" max="2561" width="9.88671875" style="421" customWidth="1"/>
    <col min="2562" max="2562" width="19" style="421" customWidth="1"/>
    <col min="2563" max="2563" width="17.21875" style="421" customWidth="1"/>
    <col min="2564" max="2564" width="16.88671875" style="421" customWidth="1"/>
    <col min="2565" max="2565" width="18.109375" style="421" customWidth="1"/>
    <col min="2566" max="2566" width="13.88671875" style="421" customWidth="1"/>
    <col min="2567" max="2816" width="8.88671875" style="421"/>
    <col min="2817" max="2817" width="9.88671875" style="421" customWidth="1"/>
    <col min="2818" max="2818" width="19" style="421" customWidth="1"/>
    <col min="2819" max="2819" width="17.21875" style="421" customWidth="1"/>
    <col min="2820" max="2820" width="16.88671875" style="421" customWidth="1"/>
    <col min="2821" max="2821" width="18.109375" style="421" customWidth="1"/>
    <col min="2822" max="2822" width="13.88671875" style="421" customWidth="1"/>
    <col min="2823" max="3072" width="8.88671875" style="421"/>
    <col min="3073" max="3073" width="9.88671875" style="421" customWidth="1"/>
    <col min="3074" max="3074" width="19" style="421" customWidth="1"/>
    <col min="3075" max="3075" width="17.21875" style="421" customWidth="1"/>
    <col min="3076" max="3076" width="16.88671875" style="421" customWidth="1"/>
    <col min="3077" max="3077" width="18.109375" style="421" customWidth="1"/>
    <col min="3078" max="3078" width="13.88671875" style="421" customWidth="1"/>
    <col min="3079" max="3328" width="8.88671875" style="421"/>
    <col min="3329" max="3329" width="9.88671875" style="421" customWidth="1"/>
    <col min="3330" max="3330" width="19" style="421" customWidth="1"/>
    <col min="3331" max="3331" width="17.21875" style="421" customWidth="1"/>
    <col min="3332" max="3332" width="16.88671875" style="421" customWidth="1"/>
    <col min="3333" max="3333" width="18.109375" style="421" customWidth="1"/>
    <col min="3334" max="3334" width="13.88671875" style="421" customWidth="1"/>
    <col min="3335" max="3584" width="8.88671875" style="421"/>
    <col min="3585" max="3585" width="9.88671875" style="421" customWidth="1"/>
    <col min="3586" max="3586" width="19" style="421" customWidth="1"/>
    <col min="3587" max="3587" width="17.21875" style="421" customWidth="1"/>
    <col min="3588" max="3588" width="16.88671875" style="421" customWidth="1"/>
    <col min="3589" max="3589" width="18.109375" style="421" customWidth="1"/>
    <col min="3590" max="3590" width="13.88671875" style="421" customWidth="1"/>
    <col min="3591" max="3840" width="8.88671875" style="421"/>
    <col min="3841" max="3841" width="9.88671875" style="421" customWidth="1"/>
    <col min="3842" max="3842" width="19" style="421" customWidth="1"/>
    <col min="3843" max="3843" width="17.21875" style="421" customWidth="1"/>
    <col min="3844" max="3844" width="16.88671875" style="421" customWidth="1"/>
    <col min="3845" max="3845" width="18.109375" style="421" customWidth="1"/>
    <col min="3846" max="3846" width="13.88671875" style="421" customWidth="1"/>
    <col min="3847" max="4096" width="8.88671875" style="421"/>
    <col min="4097" max="4097" width="9.88671875" style="421" customWidth="1"/>
    <col min="4098" max="4098" width="19" style="421" customWidth="1"/>
    <col min="4099" max="4099" width="17.21875" style="421" customWidth="1"/>
    <col min="4100" max="4100" width="16.88671875" style="421" customWidth="1"/>
    <col min="4101" max="4101" width="18.109375" style="421" customWidth="1"/>
    <col min="4102" max="4102" width="13.88671875" style="421" customWidth="1"/>
    <col min="4103" max="4352" width="8.88671875" style="421"/>
    <col min="4353" max="4353" width="9.88671875" style="421" customWidth="1"/>
    <col min="4354" max="4354" width="19" style="421" customWidth="1"/>
    <col min="4355" max="4355" width="17.21875" style="421" customWidth="1"/>
    <col min="4356" max="4356" width="16.88671875" style="421" customWidth="1"/>
    <col min="4357" max="4357" width="18.109375" style="421" customWidth="1"/>
    <col min="4358" max="4358" width="13.88671875" style="421" customWidth="1"/>
    <col min="4359" max="4608" width="8.88671875" style="421"/>
    <col min="4609" max="4609" width="9.88671875" style="421" customWidth="1"/>
    <col min="4610" max="4610" width="19" style="421" customWidth="1"/>
    <col min="4611" max="4611" width="17.21875" style="421" customWidth="1"/>
    <col min="4612" max="4612" width="16.88671875" style="421" customWidth="1"/>
    <col min="4613" max="4613" width="18.109375" style="421" customWidth="1"/>
    <col min="4614" max="4614" width="13.88671875" style="421" customWidth="1"/>
    <col min="4615" max="4864" width="8.88671875" style="421"/>
    <col min="4865" max="4865" width="9.88671875" style="421" customWidth="1"/>
    <col min="4866" max="4866" width="19" style="421" customWidth="1"/>
    <col min="4867" max="4867" width="17.21875" style="421" customWidth="1"/>
    <col min="4868" max="4868" width="16.88671875" style="421" customWidth="1"/>
    <col min="4869" max="4869" width="18.109375" style="421" customWidth="1"/>
    <col min="4870" max="4870" width="13.88671875" style="421" customWidth="1"/>
    <col min="4871" max="5120" width="8.88671875" style="421"/>
    <col min="5121" max="5121" width="9.88671875" style="421" customWidth="1"/>
    <col min="5122" max="5122" width="19" style="421" customWidth="1"/>
    <col min="5123" max="5123" width="17.21875" style="421" customWidth="1"/>
    <col min="5124" max="5124" width="16.88671875" style="421" customWidth="1"/>
    <col min="5125" max="5125" width="18.109375" style="421" customWidth="1"/>
    <col min="5126" max="5126" width="13.88671875" style="421" customWidth="1"/>
    <col min="5127" max="5376" width="8.88671875" style="421"/>
    <col min="5377" max="5377" width="9.88671875" style="421" customWidth="1"/>
    <col min="5378" max="5378" width="19" style="421" customWidth="1"/>
    <col min="5379" max="5379" width="17.21875" style="421" customWidth="1"/>
    <col min="5380" max="5380" width="16.88671875" style="421" customWidth="1"/>
    <col min="5381" max="5381" width="18.109375" style="421" customWidth="1"/>
    <col min="5382" max="5382" width="13.88671875" style="421" customWidth="1"/>
    <col min="5383" max="5632" width="8.88671875" style="421"/>
    <col min="5633" max="5633" width="9.88671875" style="421" customWidth="1"/>
    <col min="5634" max="5634" width="19" style="421" customWidth="1"/>
    <col min="5635" max="5635" width="17.21875" style="421" customWidth="1"/>
    <col min="5636" max="5636" width="16.88671875" style="421" customWidth="1"/>
    <col min="5637" max="5637" width="18.109375" style="421" customWidth="1"/>
    <col min="5638" max="5638" width="13.88671875" style="421" customWidth="1"/>
    <col min="5639" max="5888" width="8.88671875" style="421"/>
    <col min="5889" max="5889" width="9.88671875" style="421" customWidth="1"/>
    <col min="5890" max="5890" width="19" style="421" customWidth="1"/>
    <col min="5891" max="5891" width="17.21875" style="421" customWidth="1"/>
    <col min="5892" max="5892" width="16.88671875" style="421" customWidth="1"/>
    <col min="5893" max="5893" width="18.109375" style="421" customWidth="1"/>
    <col min="5894" max="5894" width="13.88671875" style="421" customWidth="1"/>
    <col min="5895" max="6144" width="8.88671875" style="421"/>
    <col min="6145" max="6145" width="9.88671875" style="421" customWidth="1"/>
    <col min="6146" max="6146" width="19" style="421" customWidth="1"/>
    <col min="6147" max="6147" width="17.21875" style="421" customWidth="1"/>
    <col min="6148" max="6148" width="16.88671875" style="421" customWidth="1"/>
    <col min="6149" max="6149" width="18.109375" style="421" customWidth="1"/>
    <col min="6150" max="6150" width="13.88671875" style="421" customWidth="1"/>
    <col min="6151" max="6400" width="8.88671875" style="421"/>
    <col min="6401" max="6401" width="9.88671875" style="421" customWidth="1"/>
    <col min="6402" max="6402" width="19" style="421" customWidth="1"/>
    <col min="6403" max="6403" width="17.21875" style="421" customWidth="1"/>
    <col min="6404" max="6404" width="16.88671875" style="421" customWidth="1"/>
    <col min="6405" max="6405" width="18.109375" style="421" customWidth="1"/>
    <col min="6406" max="6406" width="13.88671875" style="421" customWidth="1"/>
    <col min="6407" max="6656" width="8.88671875" style="421"/>
    <col min="6657" max="6657" width="9.88671875" style="421" customWidth="1"/>
    <col min="6658" max="6658" width="19" style="421" customWidth="1"/>
    <col min="6659" max="6659" width="17.21875" style="421" customWidth="1"/>
    <col min="6660" max="6660" width="16.88671875" style="421" customWidth="1"/>
    <col min="6661" max="6661" width="18.109375" style="421" customWidth="1"/>
    <col min="6662" max="6662" width="13.88671875" style="421" customWidth="1"/>
    <col min="6663" max="6912" width="8.88671875" style="421"/>
    <col min="6913" max="6913" width="9.88671875" style="421" customWidth="1"/>
    <col min="6914" max="6914" width="19" style="421" customWidth="1"/>
    <col min="6915" max="6915" width="17.21875" style="421" customWidth="1"/>
    <col min="6916" max="6916" width="16.88671875" style="421" customWidth="1"/>
    <col min="6917" max="6917" width="18.109375" style="421" customWidth="1"/>
    <col min="6918" max="6918" width="13.88671875" style="421" customWidth="1"/>
    <col min="6919" max="7168" width="8.88671875" style="421"/>
    <col min="7169" max="7169" width="9.88671875" style="421" customWidth="1"/>
    <col min="7170" max="7170" width="19" style="421" customWidth="1"/>
    <col min="7171" max="7171" width="17.21875" style="421" customWidth="1"/>
    <col min="7172" max="7172" width="16.88671875" style="421" customWidth="1"/>
    <col min="7173" max="7173" width="18.109375" style="421" customWidth="1"/>
    <col min="7174" max="7174" width="13.88671875" style="421" customWidth="1"/>
    <col min="7175" max="7424" width="8.88671875" style="421"/>
    <col min="7425" max="7425" width="9.88671875" style="421" customWidth="1"/>
    <col min="7426" max="7426" width="19" style="421" customWidth="1"/>
    <col min="7427" max="7427" width="17.21875" style="421" customWidth="1"/>
    <col min="7428" max="7428" width="16.88671875" style="421" customWidth="1"/>
    <col min="7429" max="7429" width="18.109375" style="421" customWidth="1"/>
    <col min="7430" max="7430" width="13.88671875" style="421" customWidth="1"/>
    <col min="7431" max="7680" width="8.88671875" style="421"/>
    <col min="7681" max="7681" width="9.88671875" style="421" customWidth="1"/>
    <col min="7682" max="7682" width="19" style="421" customWidth="1"/>
    <col min="7683" max="7683" width="17.21875" style="421" customWidth="1"/>
    <col min="7684" max="7684" width="16.88671875" style="421" customWidth="1"/>
    <col min="7685" max="7685" width="18.109375" style="421" customWidth="1"/>
    <col min="7686" max="7686" width="13.88671875" style="421" customWidth="1"/>
    <col min="7687" max="7936" width="8.88671875" style="421"/>
    <col min="7937" max="7937" width="9.88671875" style="421" customWidth="1"/>
    <col min="7938" max="7938" width="19" style="421" customWidth="1"/>
    <col min="7939" max="7939" width="17.21875" style="421" customWidth="1"/>
    <col min="7940" max="7940" width="16.88671875" style="421" customWidth="1"/>
    <col min="7941" max="7941" width="18.109375" style="421" customWidth="1"/>
    <col min="7942" max="7942" width="13.88671875" style="421" customWidth="1"/>
    <col min="7943" max="8192" width="8.88671875" style="421"/>
    <col min="8193" max="8193" width="9.88671875" style="421" customWidth="1"/>
    <col min="8194" max="8194" width="19" style="421" customWidth="1"/>
    <col min="8195" max="8195" width="17.21875" style="421" customWidth="1"/>
    <col min="8196" max="8196" width="16.88671875" style="421" customWidth="1"/>
    <col min="8197" max="8197" width="18.109375" style="421" customWidth="1"/>
    <col min="8198" max="8198" width="13.88671875" style="421" customWidth="1"/>
    <col min="8199" max="8448" width="8.88671875" style="421"/>
    <col min="8449" max="8449" width="9.88671875" style="421" customWidth="1"/>
    <col min="8450" max="8450" width="19" style="421" customWidth="1"/>
    <col min="8451" max="8451" width="17.21875" style="421" customWidth="1"/>
    <col min="8452" max="8452" width="16.88671875" style="421" customWidth="1"/>
    <col min="8453" max="8453" width="18.109375" style="421" customWidth="1"/>
    <col min="8454" max="8454" width="13.88671875" style="421" customWidth="1"/>
    <col min="8455" max="8704" width="8.88671875" style="421"/>
    <col min="8705" max="8705" width="9.88671875" style="421" customWidth="1"/>
    <col min="8706" max="8706" width="19" style="421" customWidth="1"/>
    <col min="8707" max="8707" width="17.21875" style="421" customWidth="1"/>
    <col min="8708" max="8708" width="16.88671875" style="421" customWidth="1"/>
    <col min="8709" max="8709" width="18.109375" style="421" customWidth="1"/>
    <col min="8710" max="8710" width="13.88671875" style="421" customWidth="1"/>
    <col min="8711" max="8960" width="8.88671875" style="421"/>
    <col min="8961" max="8961" width="9.88671875" style="421" customWidth="1"/>
    <col min="8962" max="8962" width="19" style="421" customWidth="1"/>
    <col min="8963" max="8963" width="17.21875" style="421" customWidth="1"/>
    <col min="8964" max="8964" width="16.88671875" style="421" customWidth="1"/>
    <col min="8965" max="8965" width="18.109375" style="421" customWidth="1"/>
    <col min="8966" max="8966" width="13.88671875" style="421" customWidth="1"/>
    <col min="8967" max="9216" width="8.88671875" style="421"/>
    <col min="9217" max="9217" width="9.88671875" style="421" customWidth="1"/>
    <col min="9218" max="9218" width="19" style="421" customWidth="1"/>
    <col min="9219" max="9219" width="17.21875" style="421" customWidth="1"/>
    <col min="9220" max="9220" width="16.88671875" style="421" customWidth="1"/>
    <col min="9221" max="9221" width="18.109375" style="421" customWidth="1"/>
    <col min="9222" max="9222" width="13.88671875" style="421" customWidth="1"/>
    <col min="9223" max="9472" width="8.88671875" style="421"/>
    <col min="9473" max="9473" width="9.88671875" style="421" customWidth="1"/>
    <col min="9474" max="9474" width="19" style="421" customWidth="1"/>
    <col min="9475" max="9475" width="17.21875" style="421" customWidth="1"/>
    <col min="9476" max="9476" width="16.88671875" style="421" customWidth="1"/>
    <col min="9477" max="9477" width="18.109375" style="421" customWidth="1"/>
    <col min="9478" max="9478" width="13.88671875" style="421" customWidth="1"/>
    <col min="9479" max="9728" width="8.88671875" style="421"/>
    <col min="9729" max="9729" width="9.88671875" style="421" customWidth="1"/>
    <col min="9730" max="9730" width="19" style="421" customWidth="1"/>
    <col min="9731" max="9731" width="17.21875" style="421" customWidth="1"/>
    <col min="9732" max="9732" width="16.88671875" style="421" customWidth="1"/>
    <col min="9733" max="9733" width="18.109375" style="421" customWidth="1"/>
    <col min="9734" max="9734" width="13.88671875" style="421" customWidth="1"/>
    <col min="9735" max="9984" width="8.88671875" style="421"/>
    <col min="9985" max="9985" width="9.88671875" style="421" customWidth="1"/>
    <col min="9986" max="9986" width="19" style="421" customWidth="1"/>
    <col min="9987" max="9987" width="17.21875" style="421" customWidth="1"/>
    <col min="9988" max="9988" width="16.88671875" style="421" customWidth="1"/>
    <col min="9989" max="9989" width="18.109375" style="421" customWidth="1"/>
    <col min="9990" max="9990" width="13.88671875" style="421" customWidth="1"/>
    <col min="9991" max="10240" width="8.88671875" style="421"/>
    <col min="10241" max="10241" width="9.88671875" style="421" customWidth="1"/>
    <col min="10242" max="10242" width="19" style="421" customWidth="1"/>
    <col min="10243" max="10243" width="17.21875" style="421" customWidth="1"/>
    <col min="10244" max="10244" width="16.88671875" style="421" customWidth="1"/>
    <col min="10245" max="10245" width="18.109375" style="421" customWidth="1"/>
    <col min="10246" max="10246" width="13.88671875" style="421" customWidth="1"/>
    <col min="10247" max="10496" width="8.88671875" style="421"/>
    <col min="10497" max="10497" width="9.88671875" style="421" customWidth="1"/>
    <col min="10498" max="10498" width="19" style="421" customWidth="1"/>
    <col min="10499" max="10499" width="17.21875" style="421" customWidth="1"/>
    <col min="10500" max="10500" width="16.88671875" style="421" customWidth="1"/>
    <col min="10501" max="10501" width="18.109375" style="421" customWidth="1"/>
    <col min="10502" max="10502" width="13.88671875" style="421" customWidth="1"/>
    <col min="10503" max="10752" width="8.88671875" style="421"/>
    <col min="10753" max="10753" width="9.88671875" style="421" customWidth="1"/>
    <col min="10754" max="10754" width="19" style="421" customWidth="1"/>
    <col min="10755" max="10755" width="17.21875" style="421" customWidth="1"/>
    <col min="10756" max="10756" width="16.88671875" style="421" customWidth="1"/>
    <col min="10757" max="10757" width="18.109375" style="421" customWidth="1"/>
    <col min="10758" max="10758" width="13.88671875" style="421" customWidth="1"/>
    <col min="10759" max="11008" width="8.88671875" style="421"/>
    <col min="11009" max="11009" width="9.88671875" style="421" customWidth="1"/>
    <col min="11010" max="11010" width="19" style="421" customWidth="1"/>
    <col min="11011" max="11011" width="17.21875" style="421" customWidth="1"/>
    <col min="11012" max="11012" width="16.88671875" style="421" customWidth="1"/>
    <col min="11013" max="11013" width="18.109375" style="421" customWidth="1"/>
    <col min="11014" max="11014" width="13.88671875" style="421" customWidth="1"/>
    <col min="11015" max="11264" width="8.88671875" style="421"/>
    <col min="11265" max="11265" width="9.88671875" style="421" customWidth="1"/>
    <col min="11266" max="11266" width="19" style="421" customWidth="1"/>
    <col min="11267" max="11267" width="17.21875" style="421" customWidth="1"/>
    <col min="11268" max="11268" width="16.88671875" style="421" customWidth="1"/>
    <col min="11269" max="11269" width="18.109375" style="421" customWidth="1"/>
    <col min="11270" max="11270" width="13.88671875" style="421" customWidth="1"/>
    <col min="11271" max="11520" width="8.88671875" style="421"/>
    <col min="11521" max="11521" width="9.88671875" style="421" customWidth="1"/>
    <col min="11522" max="11522" width="19" style="421" customWidth="1"/>
    <col min="11523" max="11523" width="17.21875" style="421" customWidth="1"/>
    <col min="11524" max="11524" width="16.88671875" style="421" customWidth="1"/>
    <col min="11525" max="11525" width="18.109375" style="421" customWidth="1"/>
    <col min="11526" max="11526" width="13.88671875" style="421" customWidth="1"/>
    <col min="11527" max="11776" width="8.88671875" style="421"/>
    <col min="11777" max="11777" width="9.88671875" style="421" customWidth="1"/>
    <col min="11778" max="11778" width="19" style="421" customWidth="1"/>
    <col min="11779" max="11779" width="17.21875" style="421" customWidth="1"/>
    <col min="11780" max="11780" width="16.88671875" style="421" customWidth="1"/>
    <col min="11781" max="11781" width="18.109375" style="421" customWidth="1"/>
    <col min="11782" max="11782" width="13.88671875" style="421" customWidth="1"/>
    <col min="11783" max="12032" width="8.88671875" style="421"/>
    <col min="12033" max="12033" width="9.88671875" style="421" customWidth="1"/>
    <col min="12034" max="12034" width="19" style="421" customWidth="1"/>
    <col min="12035" max="12035" width="17.21875" style="421" customWidth="1"/>
    <col min="12036" max="12036" width="16.88671875" style="421" customWidth="1"/>
    <col min="12037" max="12037" width="18.109375" style="421" customWidth="1"/>
    <col min="12038" max="12038" width="13.88671875" style="421" customWidth="1"/>
    <col min="12039" max="12288" width="8.88671875" style="421"/>
    <col min="12289" max="12289" width="9.88671875" style="421" customWidth="1"/>
    <col min="12290" max="12290" width="19" style="421" customWidth="1"/>
    <col min="12291" max="12291" width="17.21875" style="421" customWidth="1"/>
    <col min="12292" max="12292" width="16.88671875" style="421" customWidth="1"/>
    <col min="12293" max="12293" width="18.109375" style="421" customWidth="1"/>
    <col min="12294" max="12294" width="13.88671875" style="421" customWidth="1"/>
    <col min="12295" max="12544" width="8.88671875" style="421"/>
    <col min="12545" max="12545" width="9.88671875" style="421" customWidth="1"/>
    <col min="12546" max="12546" width="19" style="421" customWidth="1"/>
    <col min="12547" max="12547" width="17.21875" style="421" customWidth="1"/>
    <col min="12548" max="12548" width="16.88671875" style="421" customWidth="1"/>
    <col min="12549" max="12549" width="18.109375" style="421" customWidth="1"/>
    <col min="12550" max="12550" width="13.88671875" style="421" customWidth="1"/>
    <col min="12551" max="12800" width="8.88671875" style="421"/>
    <col min="12801" max="12801" width="9.88671875" style="421" customWidth="1"/>
    <col min="12802" max="12802" width="19" style="421" customWidth="1"/>
    <col min="12803" max="12803" width="17.21875" style="421" customWidth="1"/>
    <col min="12804" max="12804" width="16.88671875" style="421" customWidth="1"/>
    <col min="12805" max="12805" width="18.109375" style="421" customWidth="1"/>
    <col min="12806" max="12806" width="13.88671875" style="421" customWidth="1"/>
    <col min="12807" max="13056" width="8.88671875" style="421"/>
    <col min="13057" max="13057" width="9.88671875" style="421" customWidth="1"/>
    <col min="13058" max="13058" width="19" style="421" customWidth="1"/>
    <col min="13059" max="13059" width="17.21875" style="421" customWidth="1"/>
    <col min="13060" max="13060" width="16.88671875" style="421" customWidth="1"/>
    <col min="13061" max="13061" width="18.109375" style="421" customWidth="1"/>
    <col min="13062" max="13062" width="13.88671875" style="421" customWidth="1"/>
    <col min="13063" max="13312" width="8.88671875" style="421"/>
    <col min="13313" max="13313" width="9.88671875" style="421" customWidth="1"/>
    <col min="13314" max="13314" width="19" style="421" customWidth="1"/>
    <col min="13315" max="13315" width="17.21875" style="421" customWidth="1"/>
    <col min="13316" max="13316" width="16.88671875" style="421" customWidth="1"/>
    <col min="13317" max="13317" width="18.109375" style="421" customWidth="1"/>
    <col min="13318" max="13318" width="13.88671875" style="421" customWidth="1"/>
    <col min="13319" max="13568" width="8.88671875" style="421"/>
    <col min="13569" max="13569" width="9.88671875" style="421" customWidth="1"/>
    <col min="13570" max="13570" width="19" style="421" customWidth="1"/>
    <col min="13571" max="13571" width="17.21875" style="421" customWidth="1"/>
    <col min="13572" max="13572" width="16.88671875" style="421" customWidth="1"/>
    <col min="13573" max="13573" width="18.109375" style="421" customWidth="1"/>
    <col min="13574" max="13574" width="13.88671875" style="421" customWidth="1"/>
    <col min="13575" max="13824" width="8.88671875" style="421"/>
    <col min="13825" max="13825" width="9.88671875" style="421" customWidth="1"/>
    <col min="13826" max="13826" width="19" style="421" customWidth="1"/>
    <col min="13827" max="13827" width="17.21875" style="421" customWidth="1"/>
    <col min="13828" max="13828" width="16.88671875" style="421" customWidth="1"/>
    <col min="13829" max="13829" width="18.109375" style="421" customWidth="1"/>
    <col min="13830" max="13830" width="13.88671875" style="421" customWidth="1"/>
    <col min="13831" max="14080" width="8.88671875" style="421"/>
    <col min="14081" max="14081" width="9.88671875" style="421" customWidth="1"/>
    <col min="14082" max="14082" width="19" style="421" customWidth="1"/>
    <col min="14083" max="14083" width="17.21875" style="421" customWidth="1"/>
    <col min="14084" max="14084" width="16.88671875" style="421" customWidth="1"/>
    <col min="14085" max="14085" width="18.109375" style="421" customWidth="1"/>
    <col min="14086" max="14086" width="13.88671875" style="421" customWidth="1"/>
    <col min="14087" max="14336" width="8.88671875" style="421"/>
    <col min="14337" max="14337" width="9.88671875" style="421" customWidth="1"/>
    <col min="14338" max="14338" width="19" style="421" customWidth="1"/>
    <col min="14339" max="14339" width="17.21875" style="421" customWidth="1"/>
    <col min="14340" max="14340" width="16.88671875" style="421" customWidth="1"/>
    <col min="14341" max="14341" width="18.109375" style="421" customWidth="1"/>
    <col min="14342" max="14342" width="13.88671875" style="421" customWidth="1"/>
    <col min="14343" max="14592" width="8.88671875" style="421"/>
    <col min="14593" max="14593" width="9.88671875" style="421" customWidth="1"/>
    <col min="14594" max="14594" width="19" style="421" customWidth="1"/>
    <col min="14595" max="14595" width="17.21875" style="421" customWidth="1"/>
    <col min="14596" max="14596" width="16.88671875" style="421" customWidth="1"/>
    <col min="14597" max="14597" width="18.109375" style="421" customWidth="1"/>
    <col min="14598" max="14598" width="13.88671875" style="421" customWidth="1"/>
    <col min="14599" max="14848" width="8.88671875" style="421"/>
    <col min="14849" max="14849" width="9.88671875" style="421" customWidth="1"/>
    <col min="14850" max="14850" width="19" style="421" customWidth="1"/>
    <col min="14851" max="14851" width="17.21875" style="421" customWidth="1"/>
    <col min="14852" max="14852" width="16.88671875" style="421" customWidth="1"/>
    <col min="14853" max="14853" width="18.109375" style="421" customWidth="1"/>
    <col min="14854" max="14854" width="13.88671875" style="421" customWidth="1"/>
    <col min="14855" max="15104" width="8.88671875" style="421"/>
    <col min="15105" max="15105" width="9.88671875" style="421" customWidth="1"/>
    <col min="15106" max="15106" width="19" style="421" customWidth="1"/>
    <col min="15107" max="15107" width="17.21875" style="421" customWidth="1"/>
    <col min="15108" max="15108" width="16.88671875" style="421" customWidth="1"/>
    <col min="15109" max="15109" width="18.109375" style="421" customWidth="1"/>
    <col min="15110" max="15110" width="13.88671875" style="421" customWidth="1"/>
    <col min="15111" max="15360" width="8.88671875" style="421"/>
    <col min="15361" max="15361" width="9.88671875" style="421" customWidth="1"/>
    <col min="15362" max="15362" width="19" style="421" customWidth="1"/>
    <col min="15363" max="15363" width="17.21875" style="421" customWidth="1"/>
    <col min="15364" max="15364" width="16.88671875" style="421" customWidth="1"/>
    <col min="15365" max="15365" width="18.109375" style="421" customWidth="1"/>
    <col min="15366" max="15366" width="13.88671875" style="421" customWidth="1"/>
    <col min="15367" max="15616" width="8.88671875" style="421"/>
    <col min="15617" max="15617" width="9.88671875" style="421" customWidth="1"/>
    <col min="15618" max="15618" width="19" style="421" customWidth="1"/>
    <col min="15619" max="15619" width="17.21875" style="421" customWidth="1"/>
    <col min="15620" max="15620" width="16.88671875" style="421" customWidth="1"/>
    <col min="15621" max="15621" width="18.109375" style="421" customWidth="1"/>
    <col min="15622" max="15622" width="13.88671875" style="421" customWidth="1"/>
    <col min="15623" max="15872" width="8.88671875" style="421"/>
    <col min="15873" max="15873" width="9.88671875" style="421" customWidth="1"/>
    <col min="15874" max="15874" width="19" style="421" customWidth="1"/>
    <col min="15875" max="15875" width="17.21875" style="421" customWidth="1"/>
    <col min="15876" max="15876" width="16.88671875" style="421" customWidth="1"/>
    <col min="15877" max="15877" width="18.109375" style="421" customWidth="1"/>
    <col min="15878" max="15878" width="13.88671875" style="421" customWidth="1"/>
    <col min="15879" max="16128" width="8.88671875" style="421"/>
    <col min="16129" max="16129" width="9.88671875" style="421" customWidth="1"/>
    <col min="16130" max="16130" width="19" style="421" customWidth="1"/>
    <col min="16131" max="16131" width="17.21875" style="421" customWidth="1"/>
    <col min="16132" max="16132" width="16.88671875" style="421" customWidth="1"/>
    <col min="16133" max="16133" width="18.109375" style="421" customWidth="1"/>
    <col min="16134" max="16134" width="13.88671875" style="421" customWidth="1"/>
    <col min="16135" max="16384" width="8.88671875" style="421"/>
  </cols>
  <sheetData>
    <row r="2" spans="1:6" ht="15">
      <c r="A2" s="486"/>
      <c r="B2" s="486"/>
      <c r="F2" s="422">
        <f ca="1">TODAY( )</f>
        <v>41541</v>
      </c>
    </row>
    <row r="3" spans="1:6">
      <c r="A3" s="423"/>
    </row>
    <row r="4" spans="1:6" ht="20.25">
      <c r="A4" s="487" t="s">
        <v>289</v>
      </c>
      <c r="B4" s="487"/>
      <c r="C4" s="487"/>
      <c r="D4" s="487"/>
      <c r="E4" s="487"/>
      <c r="F4" s="487"/>
    </row>
    <row r="6" spans="1:6" ht="13.5" thickBot="1"/>
    <row r="7" spans="1:6">
      <c r="A7" s="427" t="s">
        <v>269</v>
      </c>
      <c r="B7" s="428" t="s">
        <v>270</v>
      </c>
      <c r="C7" s="428" t="s">
        <v>290</v>
      </c>
      <c r="D7" s="428" t="s">
        <v>291</v>
      </c>
      <c r="E7" s="428" t="s">
        <v>292</v>
      </c>
      <c r="F7" s="430" t="s">
        <v>124</v>
      </c>
    </row>
    <row r="8" spans="1:6">
      <c r="A8" s="446"/>
      <c r="B8" s="447"/>
      <c r="C8" s="433"/>
      <c r="D8" s="433"/>
      <c r="E8" s="433"/>
      <c r="F8" s="435"/>
    </row>
    <row r="9" spans="1:6">
      <c r="A9" s="448">
        <v>1</v>
      </c>
      <c r="B9" s="447" t="s">
        <v>293</v>
      </c>
      <c r="C9" s="438">
        <v>0</v>
      </c>
      <c r="D9" s="438">
        <v>0</v>
      </c>
      <c r="E9" s="438">
        <f t="shared" ref="E9:E19" si="0">SUM(C9:D9)</f>
        <v>0</v>
      </c>
      <c r="F9" s="440">
        <f>E9/2729422</f>
        <v>0</v>
      </c>
    </row>
    <row r="10" spans="1:6">
      <c r="A10" s="448">
        <v>2</v>
      </c>
      <c r="B10" s="424" t="s">
        <v>294</v>
      </c>
      <c r="C10" s="438">
        <v>51218.380000000005</v>
      </c>
      <c r="D10" s="438">
        <v>0</v>
      </c>
      <c r="E10" s="438">
        <f t="shared" si="0"/>
        <v>51218.380000000005</v>
      </c>
      <c r="F10" s="440">
        <f>E10/3200103</f>
        <v>1.6005228581705028E-2</v>
      </c>
    </row>
    <row r="11" spans="1:6">
      <c r="A11" s="448">
        <v>3</v>
      </c>
      <c r="B11" s="447" t="s">
        <v>295</v>
      </c>
      <c r="C11" s="438">
        <v>23.480000000010477</v>
      </c>
      <c r="D11" s="438">
        <v>0</v>
      </c>
      <c r="E11" s="438">
        <f t="shared" si="0"/>
        <v>23.480000000010477</v>
      </c>
      <c r="F11" s="440">
        <f>E11/7837529</f>
        <v>2.9958421844449285E-6</v>
      </c>
    </row>
    <row r="12" spans="1:6">
      <c r="A12" s="448">
        <v>4</v>
      </c>
      <c r="B12" s="424" t="s">
        <v>296</v>
      </c>
      <c r="C12" s="438">
        <v>0</v>
      </c>
      <c r="D12" s="438">
        <v>0</v>
      </c>
      <c r="E12" s="438">
        <f t="shared" si="0"/>
        <v>0</v>
      </c>
      <c r="F12" s="440">
        <f>E12/6961943</f>
        <v>0</v>
      </c>
    </row>
    <row r="13" spans="1:6">
      <c r="A13" s="448">
        <v>5</v>
      </c>
      <c r="B13" s="447" t="s">
        <v>297</v>
      </c>
      <c r="C13" s="438">
        <v>0</v>
      </c>
      <c r="D13" s="438">
        <v>0</v>
      </c>
      <c r="E13" s="438">
        <f t="shared" si="0"/>
        <v>0</v>
      </c>
      <c r="F13" s="440">
        <f>E13/6721884</f>
        <v>0</v>
      </c>
    </row>
    <row r="14" spans="1:6">
      <c r="A14" s="448">
        <v>6</v>
      </c>
      <c r="B14" s="424" t="s">
        <v>298</v>
      </c>
      <c r="C14" s="438">
        <v>119.72999999999593</v>
      </c>
      <c r="D14" s="438">
        <v>0</v>
      </c>
      <c r="E14" s="438">
        <f t="shared" si="0"/>
        <v>119.72999999999593</v>
      </c>
      <c r="F14" s="440">
        <f>E14/8988097</f>
        <v>1.3320951031124377E-5</v>
      </c>
    </row>
    <row r="15" spans="1:6">
      <c r="A15" s="448">
        <v>7</v>
      </c>
      <c r="B15" s="447" t="s">
        <v>299</v>
      </c>
      <c r="C15" s="438">
        <v>17460.420000000013</v>
      </c>
      <c r="D15" s="438">
        <v>0.5</v>
      </c>
      <c r="E15" s="438">
        <f t="shared" si="0"/>
        <v>17460.920000000013</v>
      </c>
      <c r="F15" s="440">
        <f>E15/6591040</f>
        <v>2.6491904160800138E-3</v>
      </c>
    </row>
    <row r="16" spans="1:6">
      <c r="A16" s="448">
        <v>8</v>
      </c>
      <c r="B16" s="424" t="s">
        <v>300</v>
      </c>
      <c r="C16" s="438">
        <v>0</v>
      </c>
      <c r="D16" s="438">
        <v>0</v>
      </c>
      <c r="E16" s="438">
        <f t="shared" si="0"/>
        <v>0</v>
      </c>
      <c r="F16" s="440">
        <f>E16/6926868</f>
        <v>0</v>
      </c>
    </row>
    <row r="17" spans="1:6">
      <c r="A17" s="448">
        <v>9</v>
      </c>
      <c r="B17" s="447" t="s">
        <v>301</v>
      </c>
      <c r="C17" s="438">
        <v>6159.1999999999971</v>
      </c>
      <c r="D17" s="438">
        <v>0</v>
      </c>
      <c r="E17" s="438">
        <f t="shared" si="0"/>
        <v>6159.1999999999971</v>
      </c>
      <c r="F17" s="440">
        <f>E17/7802076</f>
        <v>7.8943091556657452E-4</v>
      </c>
    </row>
    <row r="18" spans="1:6">
      <c r="A18" s="448">
        <v>10</v>
      </c>
      <c r="B18" s="424" t="s">
        <v>302</v>
      </c>
      <c r="C18" s="438">
        <v>13245.969999999987</v>
      </c>
      <c r="D18" s="438">
        <v>0</v>
      </c>
      <c r="E18" s="438">
        <f t="shared" si="0"/>
        <v>13245.969999999987</v>
      </c>
      <c r="F18" s="440">
        <f>E18/6751264</f>
        <v>1.961998523535739E-3</v>
      </c>
    </row>
    <row r="19" spans="1:6">
      <c r="A19" s="448">
        <v>11</v>
      </c>
      <c r="B19" s="447" t="s">
        <v>303</v>
      </c>
      <c r="C19" s="438">
        <v>42417.959999999992</v>
      </c>
      <c r="D19" s="438">
        <v>0</v>
      </c>
      <c r="E19" s="438">
        <f t="shared" si="0"/>
        <v>42417.959999999992</v>
      </c>
      <c r="F19" s="440">
        <f>E19/15390341</f>
        <v>2.756141660538905E-3</v>
      </c>
    </row>
    <row r="20" spans="1:6">
      <c r="A20" s="449"/>
      <c r="C20" s="438"/>
      <c r="D20" s="438"/>
      <c r="E20" s="438"/>
      <c r="F20" s="440"/>
    </row>
    <row r="21" spans="1:6" ht="13.5" thickBot="1">
      <c r="A21" s="450" t="s">
        <v>292</v>
      </c>
      <c r="B21" s="451"/>
      <c r="C21" s="443">
        <f>SUM(C9:C19)</f>
        <v>130645.14</v>
      </c>
      <c r="D21" s="443">
        <f>SUM(D9:D19)</f>
        <v>0.5</v>
      </c>
      <c r="E21" s="443">
        <f>SUM(E9:E19)</f>
        <v>130645.64</v>
      </c>
      <c r="F21" s="444">
        <f>E21/79916443</f>
        <v>1.6347779642795163E-3</v>
      </c>
    </row>
    <row r="24" spans="1:6">
      <c r="E24" s="422"/>
    </row>
    <row r="26" spans="1:6">
      <c r="B26" s="424" t="s">
        <v>0</v>
      </c>
    </row>
  </sheetData>
  <sortState ref="A9:F29">
    <sortCondition ref="A9:A29"/>
  </sortState>
  <mergeCells count="2">
    <mergeCell ref="A2:B2"/>
    <mergeCell ref="A4:F4"/>
  </mergeCells>
  <printOptions horizontalCentered="1"/>
  <pageMargins left="0" right="0.75" top="1" bottom="1" header="0.5" footer="0.5"/>
  <pageSetup paperSize="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48"/>
  <sheetViews>
    <sheetView zoomScaleNormal="100" workbookViewId="0">
      <pane ySplit="8" topLeftCell="A25" activePane="bottomLeft" state="frozen"/>
      <selection activeCell="A4" sqref="A4:M4"/>
      <selection pane="bottomLeft" activeCell="I45" sqref="I45"/>
    </sheetView>
  </sheetViews>
  <sheetFormatPr defaultColWidth="11.5546875" defaultRowHeight="15"/>
  <cols>
    <col min="1" max="1" width="41" style="21" customWidth="1"/>
    <col min="2" max="2" width="15" style="21" customWidth="1"/>
    <col min="3" max="4" width="14.109375" style="21" customWidth="1"/>
    <col min="5" max="5" width="14.6640625" style="21" customWidth="1"/>
    <col min="6" max="6" width="14" style="21" customWidth="1"/>
    <col min="7" max="7" width="16.21875" style="21" customWidth="1"/>
    <col min="8" max="8" width="15.77734375" style="21" customWidth="1"/>
    <col min="9" max="9" width="15" style="21" customWidth="1"/>
    <col min="10" max="10" width="1.88671875" style="21" customWidth="1"/>
    <col min="11" max="16384" width="11.5546875" style="21"/>
  </cols>
  <sheetData>
    <row r="1" spans="1:9" ht="18.75">
      <c r="A1" s="179" t="s">
        <v>201</v>
      </c>
      <c r="B1" s="179"/>
      <c r="C1" s="179"/>
      <c r="D1" s="179"/>
      <c r="E1" s="179"/>
      <c r="F1" s="179"/>
      <c r="G1" s="179"/>
      <c r="H1" s="179"/>
      <c r="I1" s="179"/>
    </row>
    <row r="2" spans="1:9">
      <c r="A2" s="180" t="s">
        <v>203</v>
      </c>
      <c r="B2" s="180"/>
      <c r="C2" s="180"/>
      <c r="D2" s="180"/>
      <c r="E2" s="180"/>
      <c r="F2" s="180"/>
      <c r="G2" s="180"/>
      <c r="H2" s="180"/>
      <c r="I2" s="180"/>
    </row>
    <row r="3" spans="1:9">
      <c r="A3" s="180" t="s">
        <v>227</v>
      </c>
      <c r="B3" s="180"/>
      <c r="C3" s="180"/>
      <c r="D3" s="180"/>
      <c r="E3" s="180"/>
      <c r="F3" s="180"/>
      <c r="G3" s="239"/>
      <c r="H3" s="180"/>
      <c r="I3" s="180"/>
    </row>
    <row r="4" spans="1:9">
      <c r="D4" s="23"/>
      <c r="E4" s="24"/>
      <c r="I4" s="25"/>
    </row>
    <row r="5" spans="1:9" ht="15.75" thickBot="1"/>
    <row r="6" spans="1:9" ht="21.75" customHeight="1">
      <c r="A6" s="26"/>
      <c r="B6" s="214" t="s">
        <v>47</v>
      </c>
      <c r="C6" s="215" t="s">
        <v>46</v>
      </c>
      <c r="D6" s="215" t="s">
        <v>194</v>
      </c>
      <c r="E6" s="215" t="s">
        <v>195</v>
      </c>
      <c r="F6" s="215" t="s">
        <v>196</v>
      </c>
      <c r="G6" s="215" t="s">
        <v>45</v>
      </c>
      <c r="H6" s="215" t="s">
        <v>44</v>
      </c>
      <c r="I6" s="216" t="s">
        <v>44</v>
      </c>
    </row>
    <row r="7" spans="1:9">
      <c r="A7" s="213" t="s">
        <v>121</v>
      </c>
      <c r="B7" s="217" t="s">
        <v>43</v>
      </c>
      <c r="C7" s="218" t="s">
        <v>42</v>
      </c>
      <c r="D7" s="218" t="s">
        <v>41</v>
      </c>
      <c r="E7" s="218" t="s">
        <v>145</v>
      </c>
      <c r="F7" s="218" t="s">
        <v>23</v>
      </c>
      <c r="G7" s="218" t="s">
        <v>146</v>
      </c>
      <c r="H7" s="218" t="s">
        <v>40</v>
      </c>
      <c r="I7" s="219" t="s">
        <v>39</v>
      </c>
    </row>
    <row r="8" spans="1:9" s="224" customFormat="1" ht="21.75" customHeight="1">
      <c r="A8" s="220"/>
      <c r="B8" s="221" t="s">
        <v>38</v>
      </c>
      <c r="C8" s="222" t="s">
        <v>37</v>
      </c>
      <c r="D8" s="222" t="s">
        <v>36</v>
      </c>
      <c r="E8" s="222" t="s">
        <v>36</v>
      </c>
      <c r="F8" s="222" t="s">
        <v>24</v>
      </c>
      <c r="G8" s="222" t="s">
        <v>35</v>
      </c>
      <c r="H8" s="222" t="s">
        <v>34</v>
      </c>
      <c r="I8" s="223" t="s">
        <v>33</v>
      </c>
    </row>
    <row r="9" spans="1:9">
      <c r="A9" s="27"/>
      <c r="B9" s="199"/>
      <c r="C9" s="28"/>
      <c r="D9" s="28"/>
      <c r="E9" s="28"/>
      <c r="F9" s="28"/>
      <c r="G9" s="28"/>
      <c r="H9" s="28"/>
      <c r="I9" s="47"/>
    </row>
    <row r="10" spans="1:9">
      <c r="A10" s="225" t="s">
        <v>324</v>
      </c>
      <c r="B10" s="226">
        <f>SUM(C10:I10)</f>
        <v>82533325</v>
      </c>
      <c r="C10" s="227">
        <v>24898684</v>
      </c>
      <c r="D10" s="227">
        <v>28223766</v>
      </c>
      <c r="E10" s="227">
        <v>14973912</v>
      </c>
      <c r="F10" s="227">
        <v>1455665</v>
      </c>
      <c r="G10" s="227">
        <v>11479975</v>
      </c>
      <c r="H10" s="227">
        <v>1157559</v>
      </c>
      <c r="I10" s="228">
        <v>343764</v>
      </c>
    </row>
    <row r="11" spans="1:9">
      <c r="A11" s="225" t="s">
        <v>305</v>
      </c>
      <c r="B11" s="226">
        <f>SUM(C11:I11)</f>
        <v>83504376</v>
      </c>
      <c r="C11" s="227">
        <v>25112020</v>
      </c>
      <c r="D11" s="227">
        <v>28731849</v>
      </c>
      <c r="E11" s="227">
        <v>15102303</v>
      </c>
      <c r="F11" s="227">
        <v>1468137</v>
      </c>
      <c r="G11" s="227">
        <v>11578338</v>
      </c>
      <c r="H11" s="227">
        <v>1167477</v>
      </c>
      <c r="I11" s="228">
        <v>344252</v>
      </c>
    </row>
    <row r="12" spans="1:9">
      <c r="A12" s="378" t="s">
        <v>322</v>
      </c>
      <c r="B12" s="226">
        <f>SUM(C12:I12)</f>
        <v>-971051</v>
      </c>
      <c r="C12" s="227">
        <f t="shared" ref="C12:I12" si="0">+C10-C11</f>
        <v>-213336</v>
      </c>
      <c r="D12" s="227">
        <f t="shared" si="0"/>
        <v>-508083</v>
      </c>
      <c r="E12" s="227">
        <f t="shared" si="0"/>
        <v>-128391</v>
      </c>
      <c r="F12" s="227">
        <f t="shared" si="0"/>
        <v>-12472</v>
      </c>
      <c r="G12" s="227">
        <f t="shared" si="0"/>
        <v>-98363</v>
      </c>
      <c r="H12" s="227">
        <f t="shared" si="0"/>
        <v>-9918</v>
      </c>
      <c r="I12" s="228">
        <f t="shared" si="0"/>
        <v>-488</v>
      </c>
    </row>
    <row r="13" spans="1:9">
      <c r="A13" s="188" t="s">
        <v>323</v>
      </c>
      <c r="B13" s="374">
        <f>B12/B10</f>
        <v>-1.1765562577298322E-2</v>
      </c>
      <c r="C13" s="375">
        <f t="shared" ref="C13:I13" si="1">C12/C10</f>
        <v>-8.5681636828677365E-3</v>
      </c>
      <c r="D13" s="376">
        <f t="shared" si="1"/>
        <v>-1.8001956223701685E-2</v>
      </c>
      <c r="E13" s="376">
        <f t="shared" si="1"/>
        <v>-8.574312444202958E-3</v>
      </c>
      <c r="F13" s="376">
        <f t="shared" si="1"/>
        <v>-8.5679053903198882E-3</v>
      </c>
      <c r="G13" s="376">
        <f t="shared" si="1"/>
        <v>-8.568224233937792E-3</v>
      </c>
      <c r="H13" s="376">
        <f t="shared" si="1"/>
        <v>-8.568029793729736E-3</v>
      </c>
      <c r="I13" s="377">
        <f t="shared" si="1"/>
        <v>-1.4195785480736784E-3</v>
      </c>
    </row>
    <row r="14" spans="1:9">
      <c r="A14" s="29"/>
      <c r="B14" s="202"/>
      <c r="C14" s="56"/>
      <c r="D14" s="56"/>
      <c r="E14" s="56"/>
      <c r="F14" s="56"/>
      <c r="G14" s="56"/>
      <c r="H14" s="56"/>
      <c r="I14" s="57"/>
    </row>
    <row r="15" spans="1:9" hidden="1">
      <c r="A15" s="185" t="s">
        <v>185</v>
      </c>
      <c r="B15" s="200"/>
      <c r="C15" s="181">
        <v>2.4578651685393258E-3</v>
      </c>
      <c r="D15" s="181">
        <v>0.28281679535432924</v>
      </c>
      <c r="E15" s="181">
        <v>0.18148333287208723</v>
      </c>
      <c r="F15" s="181">
        <v>7.0296788804634601E-3</v>
      </c>
      <c r="G15" s="181">
        <v>0.52621232772458071</v>
      </c>
      <c r="H15" s="55"/>
      <c r="I15" s="54"/>
    </row>
    <row r="16" spans="1:9" ht="17.25">
      <c r="A16" s="29" t="s">
        <v>224</v>
      </c>
      <c r="B16" s="200">
        <f>ROUND(SUM(C10:G10)*0.05,0)</f>
        <v>4051600</v>
      </c>
      <c r="C16" s="182"/>
      <c r="D16" s="182"/>
      <c r="E16" s="182"/>
      <c r="F16" s="182"/>
      <c r="G16" s="182"/>
      <c r="H16" s="186"/>
      <c r="I16" s="187"/>
    </row>
    <row r="17" spans="1:9" s="22" customFormat="1">
      <c r="A17" s="231" t="s">
        <v>186</v>
      </c>
      <c r="B17" s="226">
        <f>SUM(C17:I17)</f>
        <v>4051600</v>
      </c>
      <c r="C17" s="229">
        <f>ROUND((+C15*$B$16),0)</f>
        <v>9958</v>
      </c>
      <c r="D17" s="229">
        <f>ROUND((+D15*$B$16),0)</f>
        <v>1145861</v>
      </c>
      <c r="E17" s="229">
        <f>ROUND((+E15*$B$16),0)</f>
        <v>735298</v>
      </c>
      <c r="F17" s="229">
        <f>ROUND((+F15*$B$16),0)</f>
        <v>28481</v>
      </c>
      <c r="G17" s="229">
        <f>ROUND((+G15*$B$16),0)</f>
        <v>2132002</v>
      </c>
      <c r="H17" s="229"/>
      <c r="I17" s="230"/>
    </row>
    <row r="18" spans="1:9" s="51" customFormat="1">
      <c r="A18" s="188"/>
      <c r="B18" s="203"/>
      <c r="C18" s="189"/>
      <c r="D18" s="189"/>
      <c r="E18" s="189"/>
      <c r="F18" s="189"/>
      <c r="G18" s="189"/>
      <c r="H18" s="183"/>
      <c r="I18" s="184"/>
    </row>
    <row r="19" spans="1:9" ht="17.25">
      <c r="A19" s="46" t="s">
        <v>193</v>
      </c>
      <c r="B19" s="200">
        <f>SUM(C19:I19)</f>
        <v>1562219</v>
      </c>
      <c r="C19" s="53">
        <v>404660</v>
      </c>
      <c r="D19" s="56"/>
      <c r="E19" s="53"/>
      <c r="F19" s="53"/>
      <c r="G19" s="53"/>
      <c r="H19" s="53">
        <f>+H10</f>
        <v>1157559</v>
      </c>
      <c r="I19" s="54"/>
    </row>
    <row r="20" spans="1:9">
      <c r="A20" s="46" t="s">
        <v>31</v>
      </c>
      <c r="B20" s="200">
        <f>SUM(C20:I20)</f>
        <v>343764</v>
      </c>
      <c r="C20" s="53"/>
      <c r="D20" s="53"/>
      <c r="E20" s="53"/>
      <c r="F20" s="53"/>
      <c r="G20" s="53"/>
      <c r="H20" s="53"/>
      <c r="I20" s="54">
        <f>I10</f>
        <v>343764</v>
      </c>
    </row>
    <row r="21" spans="1:9">
      <c r="A21" s="196"/>
      <c r="B21" s="204"/>
      <c r="C21" s="197"/>
      <c r="D21" s="197"/>
      <c r="E21" s="197"/>
      <c r="F21" s="197"/>
      <c r="G21" s="197"/>
      <c r="H21" s="197"/>
      <c r="I21" s="198"/>
    </row>
    <row r="22" spans="1:9" ht="17.25">
      <c r="A22" s="29" t="s">
        <v>188</v>
      </c>
      <c r="B22" s="202">
        <f>B10-B17-B19-B20</f>
        <v>76575742</v>
      </c>
      <c r="C22" s="56">
        <f>SUM(C10-C17-C19)</f>
        <v>24484066</v>
      </c>
      <c r="D22" s="56">
        <f>SUM(D10-D17)</f>
        <v>27077905</v>
      </c>
      <c r="E22" s="56">
        <f>SUM(E10-E17)</f>
        <v>14238614</v>
      </c>
      <c r="F22" s="56">
        <f>SUM(F10-F17)</f>
        <v>1427184</v>
      </c>
      <c r="G22" s="56">
        <f>SUM(G10-G17)</f>
        <v>9347973</v>
      </c>
      <c r="H22" s="56"/>
      <c r="I22" s="57"/>
    </row>
    <row r="23" spans="1:9" ht="17.25">
      <c r="A23" s="27" t="s">
        <v>187</v>
      </c>
      <c r="B23" s="205">
        <f>ROUND((C22+D22+E22+G22+F22)*0.1,0)</f>
        <v>7657574</v>
      </c>
      <c r="C23" s="183">
        <f>ROUND((C22*10%+F22*10%),0)</f>
        <v>2591125</v>
      </c>
      <c r="D23" s="183">
        <f>ROUND((D22*10%),0)</f>
        <v>2707791</v>
      </c>
      <c r="E23" s="183">
        <f>ROUND((E22*10%),0)</f>
        <v>1423861</v>
      </c>
      <c r="F23" s="183"/>
      <c r="G23" s="183">
        <f>ROUND((G22*10%),0)</f>
        <v>934797</v>
      </c>
      <c r="H23" s="183"/>
      <c r="I23" s="184"/>
    </row>
    <row r="24" spans="1:9">
      <c r="A24" s="225" t="s">
        <v>226</v>
      </c>
      <c r="B24" s="206">
        <f>+B22-B23</f>
        <v>68918168</v>
      </c>
      <c r="C24" s="194">
        <f t="shared" ref="C24:G24" si="2">C22-C23</f>
        <v>21892941</v>
      </c>
      <c r="D24" s="194">
        <f t="shared" si="2"/>
        <v>24370114</v>
      </c>
      <c r="E24" s="194">
        <f t="shared" si="2"/>
        <v>12814753</v>
      </c>
      <c r="F24" s="194">
        <f t="shared" si="2"/>
        <v>1427184</v>
      </c>
      <c r="G24" s="194">
        <f t="shared" si="2"/>
        <v>8413176</v>
      </c>
      <c r="H24" s="194"/>
      <c r="I24" s="232"/>
    </row>
    <row r="25" spans="1:9" ht="8.25" customHeight="1">
      <c r="A25" s="27"/>
      <c r="B25" s="200"/>
      <c r="C25" s="53"/>
      <c r="D25" s="53"/>
      <c r="E25" s="53"/>
      <c r="F25" s="53"/>
      <c r="G25" s="53"/>
      <c r="H25" s="53"/>
      <c r="I25" s="54"/>
    </row>
    <row r="26" spans="1:9">
      <c r="A26" s="185" t="s">
        <v>225</v>
      </c>
      <c r="B26" s="201">
        <f>SUM(C26:G26)</f>
        <v>7657574</v>
      </c>
      <c r="C26" s="53">
        <f>+C23</f>
        <v>2591125</v>
      </c>
      <c r="D26" s="53">
        <f t="shared" ref="D26:G26" si="3">+D23</f>
        <v>2707791</v>
      </c>
      <c r="E26" s="53">
        <f t="shared" si="3"/>
        <v>1423861</v>
      </c>
      <c r="F26" s="53">
        <f t="shared" si="3"/>
        <v>0</v>
      </c>
      <c r="G26" s="53">
        <f t="shared" si="3"/>
        <v>934797</v>
      </c>
      <c r="H26" s="53"/>
      <c r="I26" s="54"/>
    </row>
    <row r="27" spans="1:9">
      <c r="A27" s="185"/>
      <c r="B27" s="201"/>
      <c r="C27" s="53"/>
      <c r="D27" s="53"/>
      <c r="E27" s="53"/>
      <c r="F27" s="53"/>
      <c r="G27" s="53"/>
      <c r="H27" s="53"/>
      <c r="I27" s="54"/>
    </row>
    <row r="28" spans="1:9" ht="15.75" thickBot="1">
      <c r="A28" s="195" t="s">
        <v>226</v>
      </c>
      <c r="B28" s="299">
        <f>SUM(C28:G28)</f>
        <v>68918168</v>
      </c>
      <c r="C28" s="58">
        <f t="shared" ref="C28:G28" si="4">+C24</f>
        <v>21892941</v>
      </c>
      <c r="D28" s="58">
        <f t="shared" si="4"/>
        <v>24370114</v>
      </c>
      <c r="E28" s="58">
        <f t="shared" si="4"/>
        <v>12814753</v>
      </c>
      <c r="F28" s="58">
        <f t="shared" si="4"/>
        <v>1427184</v>
      </c>
      <c r="G28" s="58">
        <f t="shared" si="4"/>
        <v>8413176</v>
      </c>
      <c r="H28" s="58"/>
      <c r="I28" s="59"/>
    </row>
    <row r="29" spans="1:9" ht="15.75" thickBot="1">
      <c r="A29" s="28"/>
      <c r="B29" s="48"/>
      <c r="C29" s="49"/>
      <c r="D29" s="49"/>
      <c r="E29" s="49"/>
      <c r="F29" s="49"/>
      <c r="G29" s="49"/>
      <c r="H29" s="28"/>
      <c r="I29" s="28"/>
    </row>
    <row r="30" spans="1:9">
      <c r="B30" s="28"/>
      <c r="C30" s="28"/>
      <c r="D30" s="28"/>
      <c r="E30" s="28"/>
      <c r="G30" s="50" t="s">
        <v>31</v>
      </c>
      <c r="H30" s="40"/>
      <c r="I30" s="41"/>
    </row>
    <row r="31" spans="1:9" ht="15.75" thickBot="1">
      <c r="A31" s="30"/>
      <c r="B31" s="30"/>
      <c r="C31" s="30"/>
      <c r="D31" s="30"/>
      <c r="E31" s="30"/>
      <c r="G31" s="34" t="s">
        <v>204</v>
      </c>
      <c r="H31" s="35"/>
      <c r="I31" s="43" t="s">
        <v>216</v>
      </c>
    </row>
    <row r="32" spans="1:9">
      <c r="A32" s="30"/>
      <c r="B32" s="30"/>
      <c r="C32" s="30"/>
      <c r="D32" s="30"/>
      <c r="E32" s="30"/>
      <c r="G32" s="36" t="s">
        <v>5</v>
      </c>
      <c r="H32" s="33" t="s">
        <v>30</v>
      </c>
      <c r="I32" s="37" t="s">
        <v>29</v>
      </c>
    </row>
    <row r="33" spans="1:9">
      <c r="A33" s="30"/>
      <c r="B33" s="30"/>
      <c r="C33" s="30"/>
      <c r="D33" s="30"/>
      <c r="E33" s="30"/>
      <c r="F33" s="30"/>
      <c r="G33" s="36">
        <v>1</v>
      </c>
      <c r="H33" s="44" t="s">
        <v>205</v>
      </c>
      <c r="I33" s="236">
        <v>21266.91</v>
      </c>
    </row>
    <row r="34" spans="1:9">
      <c r="G34" s="36">
        <v>2</v>
      </c>
      <c r="H34" s="44" t="s">
        <v>206</v>
      </c>
      <c r="I34" s="236">
        <v>21266.91</v>
      </c>
    </row>
    <row r="35" spans="1:9">
      <c r="G35" s="36">
        <v>3</v>
      </c>
      <c r="H35" s="44" t="s">
        <v>207</v>
      </c>
      <c r="I35" s="236">
        <v>21266.91</v>
      </c>
    </row>
    <row r="36" spans="1:9">
      <c r="A36" s="192" t="s">
        <v>28</v>
      </c>
      <c r="G36" s="36">
        <v>4</v>
      </c>
      <c r="H36" s="44" t="s">
        <v>208</v>
      </c>
      <c r="I36" s="236">
        <v>21266.91</v>
      </c>
    </row>
    <row r="37" spans="1:9">
      <c r="A37" s="21" t="s">
        <v>260</v>
      </c>
      <c r="G37" s="36">
        <v>5</v>
      </c>
      <c r="H37" s="44" t="s">
        <v>209</v>
      </c>
      <c r="I37" s="236">
        <v>21266.91</v>
      </c>
    </row>
    <row r="38" spans="1:9">
      <c r="A38" s="21" t="s">
        <v>192</v>
      </c>
      <c r="G38" s="36">
        <v>6</v>
      </c>
      <c r="H38" s="44" t="s">
        <v>210</v>
      </c>
      <c r="I38" s="236">
        <v>21266.91</v>
      </c>
    </row>
    <row r="39" spans="1:9">
      <c r="A39" s="21" t="s">
        <v>190</v>
      </c>
      <c r="G39" s="36">
        <v>7</v>
      </c>
      <c r="H39" s="44" t="s">
        <v>211</v>
      </c>
      <c r="I39" s="236">
        <v>21266.91</v>
      </c>
    </row>
    <row r="40" spans="1:9">
      <c r="A40" s="212" t="s">
        <v>191</v>
      </c>
      <c r="G40" s="36">
        <v>8</v>
      </c>
      <c r="H40" s="44" t="s">
        <v>212</v>
      </c>
      <c r="I40" s="236">
        <v>21266.91</v>
      </c>
    </row>
    <row r="41" spans="1:9">
      <c r="A41" s="38" t="s">
        <v>325</v>
      </c>
      <c r="G41" s="36">
        <v>9</v>
      </c>
      <c r="H41" s="44" t="s">
        <v>213</v>
      </c>
      <c r="I41" s="236">
        <v>21266.91</v>
      </c>
    </row>
    <row r="42" spans="1:9">
      <c r="A42" s="21" t="s">
        <v>217</v>
      </c>
      <c r="G42" s="36">
        <v>10</v>
      </c>
      <c r="H42" s="44" t="s">
        <v>214</v>
      </c>
      <c r="I42" s="236">
        <v>21266.91</v>
      </c>
    </row>
    <row r="43" spans="1:9" ht="15.75" thickBot="1">
      <c r="A43" s="51"/>
      <c r="G43" s="39">
        <v>11</v>
      </c>
      <c r="H43" s="45" t="s">
        <v>215</v>
      </c>
      <c r="I43" s="238">
        <v>21266.91</v>
      </c>
    </row>
    <row r="44" spans="1:9">
      <c r="A44" s="52"/>
      <c r="G44" s="42" t="s">
        <v>27</v>
      </c>
      <c r="H44" s="30"/>
      <c r="I44" s="236">
        <f>SUM(I33:I43)</f>
        <v>233936.01</v>
      </c>
    </row>
    <row r="45" spans="1:9">
      <c r="A45" s="51"/>
      <c r="B45" s="21" t="s">
        <v>0</v>
      </c>
      <c r="G45" s="27" t="s">
        <v>26</v>
      </c>
      <c r="H45" s="28"/>
      <c r="I45" s="237">
        <f>I10-I44</f>
        <v>109827.98999999999</v>
      </c>
    </row>
    <row r="46" spans="1:9" ht="15.75" thickBot="1">
      <c r="A46" s="38"/>
      <c r="B46" s="21" t="s">
        <v>0</v>
      </c>
      <c r="G46" s="31" t="s">
        <v>25</v>
      </c>
      <c r="H46" s="32"/>
      <c r="I46" s="238">
        <f>SUM(I44:I45)</f>
        <v>343764</v>
      </c>
    </row>
    <row r="47" spans="1:9">
      <c r="A47" s="51"/>
    </row>
    <row r="48" spans="1:9">
      <c r="A48" s="51"/>
    </row>
  </sheetData>
  <pageMargins left="0.5" right="0.5" top="0.75" bottom="0.75" header="0.5" footer="0.5"/>
  <pageSetup paperSize="5" scale="78" orientation="landscape" cellComments="asDisplayed" r:id="rId1"/>
  <headerFooter alignWithMargins="0">
    <oddFooter>&amp;L&amp;"-,Regular"&amp;9&amp;Z&amp;F&amp;C&amp;"-,Regular"&amp;9&amp;A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zoomScaleNormal="100" workbookViewId="0">
      <pane ySplit="8" topLeftCell="A9" activePane="bottomLeft" state="frozen"/>
      <selection activeCell="A4" sqref="A4:M4"/>
      <selection pane="bottomLeft" activeCell="B22" sqref="B22:G22"/>
    </sheetView>
  </sheetViews>
  <sheetFormatPr defaultColWidth="11.5546875" defaultRowHeight="15"/>
  <cols>
    <col min="1" max="1" width="41" style="21" customWidth="1"/>
    <col min="2" max="2" width="15" style="21" customWidth="1"/>
    <col min="3" max="4" width="14.109375" style="21" customWidth="1"/>
    <col min="5" max="5" width="14.6640625" style="21" customWidth="1"/>
    <col min="6" max="6" width="14" style="21" customWidth="1"/>
    <col min="7" max="7" width="16.21875" style="21" customWidth="1"/>
    <col min="8" max="8" width="15.77734375" style="21" customWidth="1"/>
    <col min="9" max="9" width="15" style="21" customWidth="1"/>
    <col min="10" max="10" width="1.88671875" style="21" customWidth="1"/>
    <col min="11" max="16384" width="11.5546875" style="21"/>
  </cols>
  <sheetData>
    <row r="1" spans="1:9" ht="18.75">
      <c r="A1" s="179" t="s">
        <v>201</v>
      </c>
      <c r="B1" s="179"/>
      <c r="C1" s="179"/>
      <c r="D1" s="179"/>
      <c r="E1" s="179"/>
      <c r="F1" s="179"/>
      <c r="G1" s="179"/>
      <c r="H1" s="179"/>
      <c r="I1" s="179"/>
    </row>
    <row r="2" spans="1:9">
      <c r="A2" s="180" t="s">
        <v>203</v>
      </c>
      <c r="B2" s="180"/>
      <c r="C2" s="180"/>
      <c r="D2" s="180"/>
      <c r="E2" s="180"/>
      <c r="F2" s="180"/>
      <c r="G2" s="180"/>
      <c r="H2" s="180"/>
      <c r="I2" s="180"/>
    </row>
    <row r="3" spans="1:9">
      <c r="A3" s="180" t="s">
        <v>227</v>
      </c>
      <c r="B3" s="180"/>
      <c r="C3" s="180"/>
      <c r="D3" s="180"/>
      <c r="E3" s="180"/>
      <c r="F3" s="180"/>
      <c r="G3" s="239"/>
      <c r="H3" s="180"/>
      <c r="I3" s="180"/>
    </row>
    <row r="4" spans="1:9">
      <c r="D4" s="23"/>
      <c r="E4" s="24"/>
      <c r="I4" s="25"/>
    </row>
    <row r="5" spans="1:9" ht="15.75" thickBot="1"/>
    <row r="6" spans="1:9" ht="21.75" customHeight="1">
      <c r="A6" s="26"/>
      <c r="B6" s="214" t="s">
        <v>47</v>
      </c>
      <c r="C6" s="215" t="s">
        <v>46</v>
      </c>
      <c r="D6" s="215" t="s">
        <v>194</v>
      </c>
      <c r="E6" s="215" t="s">
        <v>195</v>
      </c>
      <c r="F6" s="215" t="s">
        <v>196</v>
      </c>
      <c r="G6" s="215" t="s">
        <v>45</v>
      </c>
      <c r="H6" s="215" t="s">
        <v>44</v>
      </c>
      <c r="I6" s="216" t="s">
        <v>44</v>
      </c>
    </row>
    <row r="7" spans="1:9">
      <c r="A7" s="213" t="s">
        <v>121</v>
      </c>
      <c r="B7" s="217" t="s">
        <v>43</v>
      </c>
      <c r="C7" s="218" t="s">
        <v>42</v>
      </c>
      <c r="D7" s="218" t="s">
        <v>41</v>
      </c>
      <c r="E7" s="218" t="s">
        <v>145</v>
      </c>
      <c r="F7" s="218" t="s">
        <v>23</v>
      </c>
      <c r="G7" s="218" t="s">
        <v>146</v>
      </c>
      <c r="H7" s="218" t="s">
        <v>40</v>
      </c>
      <c r="I7" s="219" t="s">
        <v>39</v>
      </c>
    </row>
    <row r="8" spans="1:9" s="224" customFormat="1" ht="21.75" customHeight="1">
      <c r="A8" s="220"/>
      <c r="B8" s="221" t="s">
        <v>38</v>
      </c>
      <c r="C8" s="222" t="s">
        <v>37</v>
      </c>
      <c r="D8" s="222" t="s">
        <v>36</v>
      </c>
      <c r="E8" s="222" t="s">
        <v>36</v>
      </c>
      <c r="F8" s="222" t="s">
        <v>24</v>
      </c>
      <c r="G8" s="222" t="s">
        <v>35</v>
      </c>
      <c r="H8" s="222" t="s">
        <v>34</v>
      </c>
      <c r="I8" s="223" t="s">
        <v>33</v>
      </c>
    </row>
    <row r="9" spans="1:9">
      <c r="A9" s="27"/>
      <c r="B9" s="199"/>
      <c r="C9" s="28"/>
      <c r="D9" s="28"/>
      <c r="E9" s="28"/>
      <c r="F9" s="28"/>
      <c r="G9" s="28"/>
      <c r="H9" s="28"/>
      <c r="I9" s="47"/>
    </row>
    <row r="10" spans="1:9">
      <c r="A10" s="225" t="s">
        <v>305</v>
      </c>
      <c r="B10" s="226">
        <f>SUM(C10:I10)</f>
        <v>83504376</v>
      </c>
      <c r="C10" s="227">
        <v>25112020</v>
      </c>
      <c r="D10" s="227">
        <v>28731849</v>
      </c>
      <c r="E10" s="227">
        <v>15102303</v>
      </c>
      <c r="F10" s="227">
        <v>1468137</v>
      </c>
      <c r="G10" s="227">
        <v>11578338</v>
      </c>
      <c r="H10" s="227">
        <v>1167477</v>
      </c>
      <c r="I10" s="228">
        <v>344252</v>
      </c>
    </row>
    <row r="11" spans="1:9">
      <c r="A11" s="225" t="s">
        <v>321</v>
      </c>
      <c r="B11" s="226">
        <f>SUM(C11:I11)</f>
        <v>88779649</v>
      </c>
      <c r="C11" s="227">
        <v>26219739</v>
      </c>
      <c r="D11" s="227">
        <v>31467368</v>
      </c>
      <c r="E11" s="227">
        <v>15874292</v>
      </c>
      <c r="F11" s="227">
        <v>1551522</v>
      </c>
      <c r="G11" s="227">
        <v>12070518</v>
      </c>
      <c r="H11" s="227">
        <v>1231886</v>
      </c>
      <c r="I11" s="228">
        <v>364324</v>
      </c>
    </row>
    <row r="12" spans="1:9">
      <c r="A12" s="378" t="s">
        <v>322</v>
      </c>
      <c r="B12" s="226">
        <f>+B10-B11</f>
        <v>-5275273</v>
      </c>
      <c r="C12" s="227">
        <f>+C10-C11</f>
        <v>-1107719</v>
      </c>
      <c r="D12" s="227">
        <f t="shared" ref="D12:I12" si="0">+D10-D11</f>
        <v>-2735519</v>
      </c>
      <c r="E12" s="227">
        <f t="shared" si="0"/>
        <v>-771989</v>
      </c>
      <c r="F12" s="227">
        <f t="shared" si="0"/>
        <v>-83385</v>
      </c>
      <c r="G12" s="227">
        <f t="shared" si="0"/>
        <v>-492180</v>
      </c>
      <c r="H12" s="227">
        <f t="shared" si="0"/>
        <v>-64409</v>
      </c>
      <c r="I12" s="228">
        <f t="shared" si="0"/>
        <v>-20072</v>
      </c>
    </row>
    <row r="13" spans="1:9" s="51" customFormat="1">
      <c r="A13" s="188" t="s">
        <v>323</v>
      </c>
      <c r="B13" s="374">
        <f>B12/B10</f>
        <v>-6.3173611404508903E-2</v>
      </c>
      <c r="C13" s="375">
        <f t="shared" ref="C13:I13" si="1">C12/C10</f>
        <v>-4.4111106951969611E-2</v>
      </c>
      <c r="D13" s="376">
        <f t="shared" si="1"/>
        <v>-9.5208595868647369E-2</v>
      </c>
      <c r="E13" s="376">
        <f t="shared" si="1"/>
        <v>-5.1117303102712217E-2</v>
      </c>
      <c r="F13" s="376">
        <f t="shared" si="1"/>
        <v>-5.6796470629103417E-2</v>
      </c>
      <c r="G13" s="376">
        <f t="shared" si="1"/>
        <v>-4.2508691661963922E-2</v>
      </c>
      <c r="H13" s="376">
        <f t="shared" si="1"/>
        <v>-5.516939520007675E-2</v>
      </c>
      <c r="I13" s="377">
        <f t="shared" si="1"/>
        <v>-5.8306124583154199E-2</v>
      </c>
    </row>
    <row r="14" spans="1:9">
      <c r="A14" s="29"/>
      <c r="B14" s="202"/>
      <c r="C14" s="56"/>
      <c r="D14" s="56"/>
      <c r="E14" s="56"/>
      <c r="F14" s="56"/>
      <c r="G14" s="56"/>
      <c r="H14" s="56"/>
      <c r="I14" s="57"/>
    </row>
    <row r="15" spans="1:9" hidden="1">
      <c r="A15" s="185" t="s">
        <v>185</v>
      </c>
      <c r="B15" s="200"/>
      <c r="C15" s="181">
        <v>2.4578651685393258E-3</v>
      </c>
      <c r="D15" s="181">
        <v>0.28281679535432924</v>
      </c>
      <c r="E15" s="181">
        <v>0.18148333287208723</v>
      </c>
      <c r="F15" s="181">
        <v>7.0296788804634601E-3</v>
      </c>
      <c r="G15" s="181">
        <v>0.52621232772458071</v>
      </c>
      <c r="H15" s="55"/>
      <c r="I15" s="54"/>
    </row>
    <row r="16" spans="1:9" ht="17.25">
      <c r="A16" s="29" t="s">
        <v>224</v>
      </c>
      <c r="B16" s="200">
        <f>ROUND(SUM(C10:G10)*0.05,0)</f>
        <v>4099632</v>
      </c>
      <c r="C16" s="182"/>
      <c r="D16" s="182"/>
      <c r="E16" s="182"/>
      <c r="F16" s="182"/>
      <c r="G16" s="182"/>
      <c r="H16" s="186"/>
      <c r="I16" s="187"/>
    </row>
    <row r="17" spans="1:9" s="22" customFormat="1">
      <c r="A17" s="231" t="s">
        <v>186</v>
      </c>
      <c r="B17" s="226">
        <f>SUM(C17:I17)</f>
        <v>4099632</v>
      </c>
      <c r="C17" s="229">
        <f>ROUND((+C15*$B$16),0)</f>
        <v>10076</v>
      </c>
      <c r="D17" s="229">
        <f>ROUND((+D15*$B$16),0)</f>
        <v>1159445</v>
      </c>
      <c r="E17" s="229">
        <f>ROUND((+E15*$B$16),0)</f>
        <v>744015</v>
      </c>
      <c r="F17" s="229">
        <f>ROUND((+F15*$B$16),0)</f>
        <v>28819</v>
      </c>
      <c r="G17" s="229">
        <f>ROUND((+G15*$B$16),0)</f>
        <v>2157277</v>
      </c>
      <c r="H17" s="229"/>
      <c r="I17" s="230"/>
    </row>
    <row r="18" spans="1:9" s="51" customFormat="1">
      <c r="A18" s="188"/>
      <c r="B18" s="203"/>
      <c r="C18" s="189"/>
      <c r="D18" s="189"/>
      <c r="E18" s="189"/>
      <c r="F18" s="189"/>
      <c r="G18" s="189"/>
      <c r="H18" s="183"/>
      <c r="I18" s="184"/>
    </row>
    <row r="19" spans="1:9" ht="17.25">
      <c r="A19" s="46" t="s">
        <v>193</v>
      </c>
      <c r="B19" s="200">
        <f>SUM(C19:I19)</f>
        <v>1572137</v>
      </c>
      <c r="C19" s="53">
        <v>404660</v>
      </c>
      <c r="D19" s="56"/>
      <c r="E19" s="53"/>
      <c r="F19" s="53"/>
      <c r="G19" s="53"/>
      <c r="H19" s="53">
        <f>H10</f>
        <v>1167477</v>
      </c>
      <c r="I19" s="54"/>
    </row>
    <row r="20" spans="1:9">
      <c r="A20" s="46" t="s">
        <v>31</v>
      </c>
      <c r="B20" s="200">
        <f>SUM(C20:I20)</f>
        <v>344252</v>
      </c>
      <c r="C20" s="53"/>
      <c r="D20" s="53"/>
      <c r="E20" s="53"/>
      <c r="F20" s="53"/>
      <c r="G20" s="53"/>
      <c r="H20" s="53"/>
      <c r="I20" s="54">
        <f>I10</f>
        <v>344252</v>
      </c>
    </row>
    <row r="21" spans="1:9">
      <c r="A21" s="196"/>
      <c r="B21" s="204"/>
      <c r="C21" s="197"/>
      <c r="D21" s="197"/>
      <c r="E21" s="197"/>
      <c r="F21" s="197"/>
      <c r="G21" s="197"/>
      <c r="H21" s="197"/>
      <c r="I21" s="198"/>
    </row>
    <row r="22" spans="1:9" ht="17.25">
      <c r="A22" s="29" t="s">
        <v>188</v>
      </c>
      <c r="B22" s="202">
        <f>B10-B17-B19-B20</f>
        <v>77488355</v>
      </c>
      <c r="C22" s="56">
        <f>SUM(C10-C17-C19)</f>
        <v>24697284</v>
      </c>
      <c r="D22" s="56">
        <f>SUM(D10-D17)</f>
        <v>27572404</v>
      </c>
      <c r="E22" s="56">
        <f>SUM(E10-E17)</f>
        <v>14358288</v>
      </c>
      <c r="F22" s="56">
        <f>SUM(F10-F17)</f>
        <v>1439318</v>
      </c>
      <c r="G22" s="56">
        <f>SUM(G10-G17)</f>
        <v>9421061</v>
      </c>
      <c r="H22" s="56"/>
      <c r="I22" s="57"/>
    </row>
    <row r="23" spans="1:9" ht="17.25">
      <c r="A23" s="27" t="s">
        <v>187</v>
      </c>
      <c r="B23" s="205">
        <f>ROUND((C22+D22+E22+G22+F22)*0.1,0)</f>
        <v>7748836</v>
      </c>
      <c r="C23" s="183">
        <f>ROUND((C22*10%+F22*10%),0)</f>
        <v>2613660</v>
      </c>
      <c r="D23" s="183">
        <f>ROUND((D22*10%),0)</f>
        <v>2757240</v>
      </c>
      <c r="E23" s="183">
        <f>ROUND((E22*10%),0)</f>
        <v>1435829</v>
      </c>
      <c r="F23" s="183"/>
      <c r="G23" s="183">
        <f>ROUND((G22*10%),0)</f>
        <v>942106</v>
      </c>
      <c r="H23" s="183"/>
      <c r="I23" s="184"/>
    </row>
    <row r="24" spans="1:9">
      <c r="A24" s="225" t="s">
        <v>226</v>
      </c>
      <c r="B24" s="206">
        <f>+B22-B23</f>
        <v>69739519</v>
      </c>
      <c r="C24" s="194">
        <f t="shared" ref="C24:G24" si="2">C22-C23</f>
        <v>22083624</v>
      </c>
      <c r="D24" s="194">
        <f t="shared" si="2"/>
        <v>24815164</v>
      </c>
      <c r="E24" s="194">
        <f t="shared" si="2"/>
        <v>12922459</v>
      </c>
      <c r="F24" s="194">
        <f t="shared" si="2"/>
        <v>1439318</v>
      </c>
      <c r="G24" s="194">
        <f t="shared" si="2"/>
        <v>8478955</v>
      </c>
      <c r="H24" s="194"/>
      <c r="I24" s="232"/>
    </row>
    <row r="25" spans="1:9" ht="8.25" customHeight="1">
      <c r="A25" s="27"/>
      <c r="B25" s="200"/>
      <c r="C25" s="53"/>
      <c r="D25" s="53"/>
      <c r="E25" s="53"/>
      <c r="F25" s="53"/>
      <c r="G25" s="53"/>
      <c r="H25" s="53"/>
      <c r="I25" s="54"/>
    </row>
    <row r="26" spans="1:9">
      <c r="A26" s="185" t="s">
        <v>225</v>
      </c>
      <c r="B26" s="201">
        <f>SUM(C26:G26)</f>
        <v>7748835</v>
      </c>
      <c r="C26" s="53">
        <f>+C23</f>
        <v>2613660</v>
      </c>
      <c r="D26" s="53">
        <f t="shared" ref="D26:G26" si="3">+D23</f>
        <v>2757240</v>
      </c>
      <c r="E26" s="53">
        <f t="shared" si="3"/>
        <v>1435829</v>
      </c>
      <c r="F26" s="53">
        <f t="shared" si="3"/>
        <v>0</v>
      </c>
      <c r="G26" s="53">
        <f t="shared" si="3"/>
        <v>942106</v>
      </c>
      <c r="H26" s="53"/>
      <c r="I26" s="54"/>
    </row>
    <row r="27" spans="1:9">
      <c r="A27" s="185"/>
      <c r="B27" s="201"/>
      <c r="C27" s="53"/>
      <c r="D27" s="53"/>
      <c r="E27" s="53"/>
      <c r="F27" s="53"/>
      <c r="G27" s="53"/>
      <c r="H27" s="53"/>
      <c r="I27" s="54"/>
    </row>
    <row r="28" spans="1:9" ht="15.75" thickBot="1">
      <c r="A28" s="195" t="s">
        <v>226</v>
      </c>
      <c r="B28" s="299">
        <f>SUM(C28:G28)</f>
        <v>69739520</v>
      </c>
      <c r="C28" s="58">
        <f t="shared" ref="C28:G28" si="4">+C24</f>
        <v>22083624</v>
      </c>
      <c r="D28" s="58">
        <f t="shared" si="4"/>
        <v>24815164</v>
      </c>
      <c r="E28" s="58">
        <f t="shared" si="4"/>
        <v>12922459</v>
      </c>
      <c r="F28" s="58">
        <f t="shared" si="4"/>
        <v>1439318</v>
      </c>
      <c r="G28" s="58">
        <f t="shared" si="4"/>
        <v>8478955</v>
      </c>
      <c r="H28" s="58"/>
      <c r="I28" s="59"/>
    </row>
    <row r="29" spans="1:9" ht="15.75" thickBot="1">
      <c r="A29" s="28"/>
      <c r="B29" s="48"/>
      <c r="C29" s="49"/>
      <c r="D29" s="49"/>
      <c r="E29" s="49"/>
      <c r="F29" s="49"/>
      <c r="G29" s="49"/>
      <c r="H29" s="28"/>
      <c r="I29" s="28"/>
    </row>
    <row r="30" spans="1:9">
      <c r="B30" s="28"/>
      <c r="C30" s="28"/>
      <c r="D30" s="28"/>
      <c r="E30" s="28"/>
      <c r="G30" s="50" t="s">
        <v>31</v>
      </c>
      <c r="H30" s="40"/>
      <c r="I30" s="41"/>
    </row>
    <row r="31" spans="1:9" ht="15.75" thickBot="1">
      <c r="B31" s="30"/>
      <c r="C31" s="30"/>
      <c r="D31" s="30"/>
      <c r="E31" s="30"/>
      <c r="G31" s="34" t="s">
        <v>204</v>
      </c>
      <c r="H31" s="35"/>
      <c r="I31" s="43" t="s">
        <v>216</v>
      </c>
    </row>
    <row r="32" spans="1:9">
      <c r="B32" s="30"/>
      <c r="C32" s="30"/>
      <c r="D32" s="30"/>
      <c r="E32" s="30"/>
      <c r="G32" s="36" t="s">
        <v>5</v>
      </c>
      <c r="H32" s="33" t="s">
        <v>30</v>
      </c>
      <c r="I32" s="37" t="s">
        <v>29</v>
      </c>
    </row>
    <row r="33" spans="1:9">
      <c r="B33" s="30"/>
      <c r="C33" s="30"/>
      <c r="D33" s="30"/>
      <c r="E33" s="30"/>
      <c r="G33" s="36">
        <v>1</v>
      </c>
      <c r="H33" s="44" t="s">
        <v>205</v>
      </c>
      <c r="I33" s="236">
        <v>23090.91</v>
      </c>
    </row>
    <row r="34" spans="1:9">
      <c r="G34" s="36">
        <v>2</v>
      </c>
      <c r="H34" s="44" t="s">
        <v>206</v>
      </c>
      <c r="I34" s="236">
        <v>23090.91</v>
      </c>
    </row>
    <row r="35" spans="1:9">
      <c r="G35" s="36">
        <v>3</v>
      </c>
      <c r="H35" s="44" t="s">
        <v>207</v>
      </c>
      <c r="I35" s="236">
        <v>23090.91</v>
      </c>
    </row>
    <row r="36" spans="1:9">
      <c r="A36" s="192" t="s">
        <v>28</v>
      </c>
      <c r="G36" s="36">
        <v>4</v>
      </c>
      <c r="H36" s="44" t="s">
        <v>208</v>
      </c>
      <c r="I36" s="236">
        <v>23090.91</v>
      </c>
    </row>
    <row r="37" spans="1:9">
      <c r="A37" s="21" t="s">
        <v>260</v>
      </c>
      <c r="G37" s="36">
        <v>5</v>
      </c>
      <c r="H37" s="44" t="s">
        <v>209</v>
      </c>
      <c r="I37" s="236">
        <v>23090.91</v>
      </c>
    </row>
    <row r="38" spans="1:9">
      <c r="A38" s="21" t="s">
        <v>192</v>
      </c>
      <c r="G38" s="36">
        <v>6</v>
      </c>
      <c r="H38" s="44" t="s">
        <v>210</v>
      </c>
      <c r="I38" s="236">
        <v>23090.91</v>
      </c>
    </row>
    <row r="39" spans="1:9">
      <c r="A39" s="21" t="s">
        <v>190</v>
      </c>
      <c r="G39" s="36">
        <v>7</v>
      </c>
      <c r="H39" s="44" t="s">
        <v>211</v>
      </c>
      <c r="I39" s="236">
        <v>23090.91</v>
      </c>
    </row>
    <row r="40" spans="1:9">
      <c r="A40" s="212" t="s">
        <v>191</v>
      </c>
      <c r="G40" s="36">
        <v>8</v>
      </c>
      <c r="H40" s="44" t="s">
        <v>212</v>
      </c>
      <c r="I40" s="236">
        <v>23090.91</v>
      </c>
    </row>
    <row r="41" spans="1:9">
      <c r="A41" s="38" t="s">
        <v>326</v>
      </c>
      <c r="G41" s="36">
        <v>9</v>
      </c>
      <c r="H41" s="44" t="s">
        <v>213</v>
      </c>
      <c r="I41" s="236">
        <v>23090.91</v>
      </c>
    </row>
    <row r="42" spans="1:9">
      <c r="A42" s="21" t="s">
        <v>217</v>
      </c>
      <c r="G42" s="36">
        <v>10</v>
      </c>
      <c r="H42" s="44" t="s">
        <v>214</v>
      </c>
      <c r="I42" s="236">
        <v>23090.91</v>
      </c>
    </row>
    <row r="43" spans="1:9" ht="15.75" thickBot="1">
      <c r="A43" s="51"/>
      <c r="G43" s="39">
        <v>11</v>
      </c>
      <c r="H43" s="45" t="s">
        <v>215</v>
      </c>
      <c r="I43" s="238">
        <v>23090.91</v>
      </c>
    </row>
    <row r="44" spans="1:9">
      <c r="A44" s="52"/>
      <c r="G44" s="42" t="s">
        <v>27</v>
      </c>
      <c r="H44" s="30"/>
      <c r="I44" s="236">
        <f>SUM(I33:I43)</f>
        <v>254000.01</v>
      </c>
    </row>
    <row r="45" spans="1:9">
      <c r="A45" s="51"/>
      <c r="B45" s="21" t="s">
        <v>0</v>
      </c>
      <c r="G45" s="27" t="s">
        <v>26</v>
      </c>
      <c r="H45" s="28"/>
      <c r="I45" s="237">
        <f>I10-I44</f>
        <v>90251.989999999991</v>
      </c>
    </row>
    <row r="46" spans="1:9" ht="15.75" thickBot="1">
      <c r="A46" s="38"/>
      <c r="B46" s="21" t="s">
        <v>0</v>
      </c>
      <c r="G46" s="31" t="s">
        <v>25</v>
      </c>
      <c r="H46" s="32"/>
      <c r="I46" s="238">
        <f>SUM(I44:I45)</f>
        <v>344252</v>
      </c>
    </row>
    <row r="47" spans="1:9">
      <c r="A47" s="51"/>
    </row>
    <row r="48" spans="1:9">
      <c r="A48" s="51"/>
    </row>
  </sheetData>
  <pageMargins left="0.5" right="0.5" top="0.75" bottom="0.75" header="0.5" footer="0.5"/>
  <pageSetup paperSize="5" scale="73" orientation="landscape" cellComments="asDisplayed" r:id="rId1"/>
  <headerFooter alignWithMargins="0">
    <oddFooter>&amp;L&amp;"-,Regular"&amp;9&amp;Z&amp;F&amp;C&amp;"-,Regular"&amp;9&amp;A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33"/>
  <sheetViews>
    <sheetView showGridLines="0" zoomScale="85" zoomScaleNormal="85" workbookViewId="0"/>
  </sheetViews>
  <sheetFormatPr defaultColWidth="8" defaultRowHeight="15.75"/>
  <cols>
    <col min="1" max="1" width="1.44140625" style="84" customWidth="1"/>
    <col min="2" max="2" width="4.5546875" style="84" customWidth="1"/>
    <col min="3" max="4" width="8.33203125" style="84" customWidth="1"/>
    <col min="5" max="20" width="13.6640625" style="84" customWidth="1"/>
    <col min="21" max="16384" width="8" style="84"/>
  </cols>
  <sheetData>
    <row r="1" spans="1:20" ht="18.75">
      <c r="A1" s="167" t="str">
        <f>+'2013 Award #3'!A2</f>
        <v>Grant Award: 2013 Older Americans Act Allocation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</row>
    <row r="2" spans="1:20">
      <c r="A2" s="168" t="s">
        <v>147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0" ht="18.75" customHeight="1">
      <c r="A3" s="169" t="s">
        <v>219</v>
      </c>
      <c r="B3" s="169"/>
      <c r="C3" s="169"/>
      <c r="D3" s="169"/>
      <c r="E3" s="169"/>
      <c r="F3" s="169"/>
      <c r="G3" s="169"/>
      <c r="H3" s="28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1:20">
      <c r="A4" s="63"/>
      <c r="B4" s="63"/>
      <c r="C4" s="63"/>
      <c r="D4" s="63"/>
      <c r="E4" s="63"/>
      <c r="F4" s="63"/>
      <c r="G4" s="63"/>
      <c r="H4" s="290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ht="16.5" thickBo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s="110" customFormat="1" ht="7.5" customHeight="1">
      <c r="A6" s="79"/>
      <c r="B6" s="79"/>
      <c r="C6" s="101"/>
      <c r="D6" s="101"/>
      <c r="E6" s="81"/>
      <c r="F6" s="80"/>
      <c r="G6" s="82"/>
      <c r="H6" s="81"/>
      <c r="I6" s="80"/>
      <c r="J6" s="82"/>
      <c r="K6" s="81"/>
      <c r="L6" s="80"/>
      <c r="M6" s="82"/>
      <c r="N6" s="81"/>
      <c r="O6" s="80"/>
      <c r="P6" s="82"/>
      <c r="Q6" s="83"/>
      <c r="R6" s="83"/>
      <c r="S6" s="90"/>
      <c r="T6" s="95"/>
    </row>
    <row r="7" spans="1:20" s="85" customFormat="1">
      <c r="A7" s="64"/>
      <c r="B7" s="64"/>
      <c r="C7" s="109">
        <v>2003</v>
      </c>
      <c r="D7" s="109">
        <v>2013</v>
      </c>
      <c r="E7" s="66">
        <v>2003</v>
      </c>
      <c r="F7" s="65">
        <v>2013</v>
      </c>
      <c r="G7" s="77">
        <v>2013</v>
      </c>
      <c r="H7" s="66">
        <v>2003</v>
      </c>
      <c r="I7" s="65">
        <v>2013</v>
      </c>
      <c r="J7" s="77">
        <v>2013</v>
      </c>
      <c r="K7" s="66">
        <v>2003</v>
      </c>
      <c r="L7" s="65">
        <v>2013</v>
      </c>
      <c r="M7" s="77">
        <v>2013</v>
      </c>
      <c r="N7" s="66">
        <v>2003</v>
      </c>
      <c r="O7" s="65">
        <v>2013</v>
      </c>
      <c r="P7" s="77">
        <v>2013</v>
      </c>
      <c r="Q7" s="78">
        <v>2013</v>
      </c>
      <c r="R7" s="78">
        <v>2013</v>
      </c>
      <c r="S7" s="91">
        <v>2013</v>
      </c>
      <c r="T7" s="96"/>
    </row>
    <row r="8" spans="1:20">
      <c r="A8" s="61"/>
      <c r="B8" s="61"/>
      <c r="C8" s="102" t="s">
        <v>2</v>
      </c>
      <c r="D8" s="102" t="s">
        <v>2</v>
      </c>
      <c r="E8" s="66" t="s">
        <v>197</v>
      </c>
      <c r="F8" s="76">
        <f>+E29</f>
        <v>-622300</v>
      </c>
      <c r="G8" s="77" t="s">
        <v>197</v>
      </c>
      <c r="H8" s="67" t="s">
        <v>198</v>
      </c>
      <c r="I8" s="76">
        <f>+H29</f>
        <v>2757927</v>
      </c>
      <c r="J8" s="77" t="s">
        <v>198</v>
      </c>
      <c r="K8" s="67" t="s">
        <v>199</v>
      </c>
      <c r="L8" s="76">
        <f>+K29</f>
        <v>1423940</v>
      </c>
      <c r="M8" s="77" t="s">
        <v>199</v>
      </c>
      <c r="N8" s="67" t="s">
        <v>200</v>
      </c>
      <c r="O8" s="76">
        <f>+N29</f>
        <v>-146340</v>
      </c>
      <c r="P8" s="77" t="s">
        <v>200</v>
      </c>
      <c r="Q8" s="78" t="s">
        <v>3</v>
      </c>
      <c r="R8" s="78" t="s">
        <v>4</v>
      </c>
      <c r="S8" s="91" t="s">
        <v>3</v>
      </c>
      <c r="T8" s="96" t="s">
        <v>1</v>
      </c>
    </row>
    <row r="9" spans="1:20">
      <c r="A9" s="61"/>
      <c r="B9" s="61" t="s">
        <v>5</v>
      </c>
      <c r="C9" s="102"/>
      <c r="D9" s="102"/>
      <c r="E9" s="67" t="s">
        <v>6</v>
      </c>
      <c r="F9" s="100" t="s">
        <v>154</v>
      </c>
      <c r="G9" s="77" t="s">
        <v>6</v>
      </c>
      <c r="H9" s="67" t="s">
        <v>8</v>
      </c>
      <c r="I9" s="100" t="s">
        <v>154</v>
      </c>
      <c r="J9" s="77" t="s">
        <v>8</v>
      </c>
      <c r="K9" s="67" t="s">
        <v>9</v>
      </c>
      <c r="L9" s="100" t="s">
        <v>154</v>
      </c>
      <c r="M9" s="77" t="s">
        <v>9</v>
      </c>
      <c r="N9" s="67" t="s">
        <v>15</v>
      </c>
      <c r="O9" s="100" t="s">
        <v>154</v>
      </c>
      <c r="P9" s="77" t="s">
        <v>15</v>
      </c>
      <c r="Q9" s="78" t="s">
        <v>10</v>
      </c>
      <c r="R9" s="78" t="s">
        <v>10</v>
      </c>
      <c r="S9" s="91" t="s">
        <v>11</v>
      </c>
      <c r="T9" s="97" t="s">
        <v>3</v>
      </c>
    </row>
    <row r="10" spans="1:20">
      <c r="A10" s="61"/>
      <c r="B10" s="61"/>
      <c r="C10" s="102"/>
      <c r="D10" s="102"/>
      <c r="E10" s="67" t="s">
        <v>12</v>
      </c>
      <c r="F10" s="68" t="s">
        <v>155</v>
      </c>
      <c r="G10" s="77" t="s">
        <v>12</v>
      </c>
      <c r="H10" s="67" t="s">
        <v>13</v>
      </c>
      <c r="I10" s="68" t="s">
        <v>155</v>
      </c>
      <c r="J10" s="77" t="s">
        <v>13</v>
      </c>
      <c r="K10" s="67" t="s">
        <v>13</v>
      </c>
      <c r="L10" s="68" t="s">
        <v>155</v>
      </c>
      <c r="M10" s="77" t="s">
        <v>13</v>
      </c>
      <c r="N10" s="67" t="s">
        <v>14</v>
      </c>
      <c r="O10" s="68" t="s">
        <v>156</v>
      </c>
      <c r="P10" s="77" t="s">
        <v>14</v>
      </c>
      <c r="Q10" s="78" t="s">
        <v>16</v>
      </c>
      <c r="R10" s="78" t="s">
        <v>16</v>
      </c>
      <c r="S10" s="91" t="s">
        <v>17</v>
      </c>
      <c r="T10" s="96" t="s">
        <v>12</v>
      </c>
    </row>
    <row r="11" spans="1:20" ht="7.5" customHeight="1" thickBot="1">
      <c r="A11" s="61"/>
      <c r="B11" s="61"/>
      <c r="C11" s="116"/>
      <c r="D11" s="116"/>
      <c r="E11" s="69"/>
      <c r="F11" s="69"/>
      <c r="G11" s="77"/>
      <c r="H11" s="69"/>
      <c r="I11" s="69"/>
      <c r="J11" s="77"/>
      <c r="K11" s="69"/>
      <c r="L11" s="69"/>
      <c r="M11" s="77"/>
      <c r="N11" s="69"/>
      <c r="O11" s="69"/>
      <c r="P11" s="77"/>
      <c r="Q11" s="193"/>
      <c r="R11" s="193"/>
      <c r="S11" s="91"/>
      <c r="T11" s="96"/>
    </row>
    <row r="12" spans="1:20" ht="24" customHeight="1">
      <c r="A12" s="71"/>
      <c r="B12" s="113">
        <v>1</v>
      </c>
      <c r="C12" s="115">
        <f>+'2003 Base Factors'!F5</f>
        <v>3.2346433289943771E-2</v>
      </c>
      <c r="D12" s="115">
        <f>VLOOKUP(B12,'Pivot - Demographics'!$A$4:$F$16,6,0)</f>
        <v>2.8318023085902436E-2</v>
      </c>
      <c r="E12" s="392">
        <v>728288</v>
      </c>
      <c r="F12" s="392">
        <f>IF($F$8&gt;0,ROUND($F$8*$D12,0),ROUND($F$8*$C12,0))-1</f>
        <v>-20130</v>
      </c>
      <c r="G12" s="393">
        <f t="shared" ref="G12:G22" si="0">SUM(E12:F12)</f>
        <v>708158</v>
      </c>
      <c r="H12" s="392">
        <v>699077</v>
      </c>
      <c r="I12" s="392">
        <f>IF($I$8&gt;0,ROUND($I$8*$D12,0),ROUND($I$8*$C12,0))</f>
        <v>78099</v>
      </c>
      <c r="J12" s="393">
        <f t="shared" ref="J12:J22" si="1">SUM(H12:I12)</f>
        <v>777176</v>
      </c>
      <c r="K12" s="392">
        <v>368452</v>
      </c>
      <c r="L12" s="392">
        <f>IF($L$8&gt;0,ROUND($L$8*$D12,0),ROUND($L$8*$C12,0))+1</f>
        <v>40324</v>
      </c>
      <c r="M12" s="393">
        <f t="shared" ref="M12:M22" si="2">SUM(K12:L12)</f>
        <v>408776</v>
      </c>
      <c r="N12" s="392">
        <v>276870</v>
      </c>
      <c r="O12" s="392">
        <f>IF($O$8&gt;0,ROUND($O$8*$D12,0),ROUND($O$8*$C12,0))+2</f>
        <v>-4732</v>
      </c>
      <c r="P12" s="393">
        <f t="shared" ref="P12:P22" si="3">SUM(N12:O12)</f>
        <v>272138</v>
      </c>
      <c r="Q12" s="394">
        <f>+'2013 Admin Formula '!K11</f>
        <v>336943.67000000004</v>
      </c>
      <c r="R12" s="394">
        <f>+'2013 Admin Formula '!L11</f>
        <v>15269</v>
      </c>
      <c r="S12" s="395">
        <f>+G12+J12+M12+P12+Q12+R12</f>
        <v>2518460.67</v>
      </c>
      <c r="T12" s="396">
        <f>+G12+J12+M12+P12</f>
        <v>2166248</v>
      </c>
    </row>
    <row r="13" spans="1:20" ht="24" customHeight="1">
      <c r="A13" s="72"/>
      <c r="B13" s="114">
        <v>2</v>
      </c>
      <c r="C13" s="115">
        <f>+'2003 Base Factors'!F6</f>
        <v>3.7307159143496388E-2</v>
      </c>
      <c r="D13" s="103">
        <f>VLOOKUP(B13,'Pivot - Demographics'!$A$4:$F$16,6,0)</f>
        <v>3.1094682402775849E-2</v>
      </c>
      <c r="E13" s="391">
        <v>839980</v>
      </c>
      <c r="F13" s="391">
        <f t="shared" ref="F13:F22" si="4">IF($F$8&gt;0,ROUND($F$8*$D13,0),ROUND($F$8*$C13,0))</f>
        <v>-23216</v>
      </c>
      <c r="G13" s="397">
        <f t="shared" si="0"/>
        <v>816764</v>
      </c>
      <c r="H13" s="391">
        <v>806289</v>
      </c>
      <c r="I13" s="391">
        <f t="shared" ref="I13:I22" si="5">IF($I$8&gt;0,ROUND($I$8*$D13,0),ROUND($I$8*$C13,0))</f>
        <v>85757</v>
      </c>
      <c r="J13" s="397">
        <f t="shared" si="1"/>
        <v>892046</v>
      </c>
      <c r="K13" s="391">
        <v>424959</v>
      </c>
      <c r="L13" s="391">
        <f t="shared" ref="L13:L22" si="6">IF($L$8&gt;0,ROUND($L$8*$D13,0),ROUND($L$8*$C13,0))</f>
        <v>44277</v>
      </c>
      <c r="M13" s="397">
        <f t="shared" si="2"/>
        <v>469236</v>
      </c>
      <c r="N13" s="391">
        <v>319331</v>
      </c>
      <c r="O13" s="391">
        <f t="shared" ref="O13:O22" si="7">IF($O$8&gt;0,ROUND($O$8*$D13,0),ROUND($O$8*$C13,0))</f>
        <v>-5460</v>
      </c>
      <c r="P13" s="397">
        <f t="shared" si="3"/>
        <v>313871</v>
      </c>
      <c r="Q13" s="394">
        <f>+'2013 Admin Formula '!K12</f>
        <v>444960</v>
      </c>
      <c r="R13" s="394">
        <f>+'2013 Admin Formula '!L12</f>
        <v>20163</v>
      </c>
      <c r="S13" s="398">
        <f>+G13+J13+M13+P13+Q13+R13</f>
        <v>2957040</v>
      </c>
      <c r="T13" s="399">
        <f>+G13+J13+M13+P13</f>
        <v>2491917</v>
      </c>
    </row>
    <row r="14" spans="1:20" ht="24" customHeight="1">
      <c r="A14" s="72"/>
      <c r="B14" s="114">
        <v>3</v>
      </c>
      <c r="C14" s="115">
        <f>+'2003 Base Factors'!F7</f>
        <v>9.8387186533890128E-2</v>
      </c>
      <c r="D14" s="103">
        <f>VLOOKUP(B14,'Pivot - Demographics'!$A$4:$F$16,6,0)</f>
        <v>9.4393667974623785E-2</v>
      </c>
      <c r="E14" s="391">
        <v>2215211</v>
      </c>
      <c r="F14" s="391">
        <f t="shared" si="4"/>
        <v>-61226</v>
      </c>
      <c r="G14" s="397">
        <f t="shared" si="0"/>
        <v>2153985</v>
      </c>
      <c r="H14" s="391">
        <v>2126362</v>
      </c>
      <c r="I14" s="391">
        <f t="shared" si="5"/>
        <v>260331</v>
      </c>
      <c r="J14" s="397">
        <f t="shared" si="1"/>
        <v>2386693</v>
      </c>
      <c r="K14" s="391">
        <v>1120710</v>
      </c>
      <c r="L14" s="391">
        <f t="shared" si="6"/>
        <v>134411</v>
      </c>
      <c r="M14" s="397">
        <f t="shared" si="2"/>
        <v>1255121</v>
      </c>
      <c r="N14" s="391">
        <v>842147</v>
      </c>
      <c r="O14" s="391">
        <f t="shared" si="7"/>
        <v>-14398</v>
      </c>
      <c r="P14" s="397">
        <f t="shared" si="3"/>
        <v>827749</v>
      </c>
      <c r="Q14" s="394">
        <f>+'2013 Admin Formula '!K13</f>
        <v>845908.3600000001</v>
      </c>
      <c r="R14" s="394">
        <f>+'2013 Admin Formula '!L13</f>
        <v>38332</v>
      </c>
      <c r="S14" s="398">
        <f t="shared" ref="S14:S22" si="8">+G14+J14+M14+P14+Q14+R14</f>
        <v>7507788.3600000003</v>
      </c>
      <c r="T14" s="399">
        <f t="shared" ref="T14:T22" si="9">+G14+J14+M14+P14</f>
        <v>6623548</v>
      </c>
    </row>
    <row r="15" spans="1:20" ht="24" customHeight="1">
      <c r="A15" s="72"/>
      <c r="B15" s="114">
        <v>4</v>
      </c>
      <c r="C15" s="115">
        <f>+'2003 Base Factors'!F8</f>
        <v>8.7487139002079259E-2</v>
      </c>
      <c r="D15" s="103">
        <f>VLOOKUP(B15,'Pivot - Demographics'!$A$4:$F$16,6,0)</f>
        <v>8.4982791594605214E-2</v>
      </c>
      <c r="E15" s="391">
        <v>1969794</v>
      </c>
      <c r="F15" s="391">
        <f t="shared" si="4"/>
        <v>-54443</v>
      </c>
      <c r="G15" s="397">
        <f t="shared" si="0"/>
        <v>1915351</v>
      </c>
      <c r="H15" s="391">
        <v>1890788</v>
      </c>
      <c r="I15" s="391">
        <f t="shared" si="5"/>
        <v>234376</v>
      </c>
      <c r="J15" s="397">
        <f t="shared" si="1"/>
        <v>2125164</v>
      </c>
      <c r="K15" s="391">
        <v>996550</v>
      </c>
      <c r="L15" s="391">
        <f t="shared" si="6"/>
        <v>121010</v>
      </c>
      <c r="M15" s="397">
        <f t="shared" si="2"/>
        <v>1117560</v>
      </c>
      <c r="N15" s="391">
        <v>748848</v>
      </c>
      <c r="O15" s="391">
        <f t="shared" si="7"/>
        <v>-12803</v>
      </c>
      <c r="P15" s="397">
        <f t="shared" si="3"/>
        <v>736045</v>
      </c>
      <c r="Q15" s="394">
        <f>+'2013 Admin Formula '!K14</f>
        <v>685050.4</v>
      </c>
      <c r="R15" s="394">
        <f>+'2013 Admin Formula '!L14</f>
        <v>31043</v>
      </c>
      <c r="S15" s="398">
        <f t="shared" si="8"/>
        <v>6610213.4000000004</v>
      </c>
      <c r="T15" s="399">
        <f t="shared" si="9"/>
        <v>5894120</v>
      </c>
    </row>
    <row r="16" spans="1:20" ht="24" customHeight="1">
      <c r="A16" s="72"/>
      <c r="B16" s="114">
        <v>5</v>
      </c>
      <c r="C16" s="115">
        <f>+'2003 Base Factors'!F9</f>
        <v>8.0889976371614575E-2</v>
      </c>
      <c r="D16" s="103">
        <f>VLOOKUP(B16,'Pivot - Demographics'!$A$4:$F$16,6,0)</f>
        <v>7.6146704549262215E-2</v>
      </c>
      <c r="E16" s="391">
        <v>1821257</v>
      </c>
      <c r="F16" s="391">
        <f t="shared" si="4"/>
        <v>-50338</v>
      </c>
      <c r="G16" s="397">
        <f t="shared" si="0"/>
        <v>1770919</v>
      </c>
      <c r="H16" s="391">
        <v>1748209</v>
      </c>
      <c r="I16" s="391">
        <f t="shared" si="5"/>
        <v>210007</v>
      </c>
      <c r="J16" s="397">
        <f t="shared" si="1"/>
        <v>1958216</v>
      </c>
      <c r="K16" s="391">
        <v>921403</v>
      </c>
      <c r="L16" s="391">
        <f t="shared" si="6"/>
        <v>108428</v>
      </c>
      <c r="M16" s="397">
        <f t="shared" si="2"/>
        <v>1029831</v>
      </c>
      <c r="N16" s="391">
        <v>692379</v>
      </c>
      <c r="O16" s="391">
        <f t="shared" si="7"/>
        <v>-11837</v>
      </c>
      <c r="P16" s="397">
        <f t="shared" si="3"/>
        <v>680542</v>
      </c>
      <c r="Q16" s="394">
        <f>+'2013 Admin Formula '!K15</f>
        <v>621416.56000000006</v>
      </c>
      <c r="R16" s="394">
        <f>+'2013 Admin Formula '!L15</f>
        <v>28159</v>
      </c>
      <c r="S16" s="398">
        <f t="shared" si="8"/>
        <v>6089083.5600000005</v>
      </c>
      <c r="T16" s="399">
        <f t="shared" si="9"/>
        <v>5439508</v>
      </c>
    </row>
    <row r="17" spans="1:20" ht="24" customHeight="1">
      <c r="A17" s="72"/>
      <c r="B17" s="114">
        <v>6</v>
      </c>
      <c r="C17" s="115">
        <f>+'2003 Base Factors'!F10</f>
        <v>0.11260679758662843</v>
      </c>
      <c r="D17" s="103">
        <f>VLOOKUP(B17,'Pivot - Demographics'!$A$4:$F$16,6,0)</f>
        <v>0.10666900680277744</v>
      </c>
      <c r="E17" s="391">
        <v>2535369</v>
      </c>
      <c r="F17" s="391">
        <f t="shared" si="4"/>
        <v>-70075</v>
      </c>
      <c r="G17" s="397">
        <f t="shared" si="0"/>
        <v>2465294</v>
      </c>
      <c r="H17" s="391">
        <v>2433679</v>
      </c>
      <c r="I17" s="391">
        <f t="shared" si="5"/>
        <v>294185</v>
      </c>
      <c r="J17" s="397">
        <f t="shared" si="1"/>
        <v>2727864</v>
      </c>
      <c r="K17" s="391">
        <v>1282683</v>
      </c>
      <c r="L17" s="391">
        <f t="shared" si="6"/>
        <v>151890</v>
      </c>
      <c r="M17" s="397">
        <f t="shared" si="2"/>
        <v>1434573</v>
      </c>
      <c r="N17" s="391">
        <v>963860</v>
      </c>
      <c r="O17" s="391">
        <f t="shared" si="7"/>
        <v>-16479</v>
      </c>
      <c r="P17" s="397">
        <f t="shared" si="3"/>
        <v>947381</v>
      </c>
      <c r="Q17" s="394">
        <f>+'2013 Admin Formula '!K16</f>
        <v>812886.84000000008</v>
      </c>
      <c r="R17" s="394">
        <f>+'2013 Admin Formula '!L16</f>
        <v>36835</v>
      </c>
      <c r="S17" s="398">
        <f t="shared" si="8"/>
        <v>8424833.8399999999</v>
      </c>
      <c r="T17" s="399">
        <f t="shared" si="9"/>
        <v>7575112</v>
      </c>
    </row>
    <row r="18" spans="1:20" ht="24" customHeight="1">
      <c r="A18" s="190"/>
      <c r="B18" s="191">
        <v>7</v>
      </c>
      <c r="C18" s="115">
        <f>+'2003 Base Factors'!F11</f>
        <v>8.307050472675212E-2</v>
      </c>
      <c r="D18" s="103">
        <f>VLOOKUP(B18,'Pivot - Demographics'!$A$4:$F$16,6,0)</f>
        <v>9.3712287366245164E-2</v>
      </c>
      <c r="E18" s="400">
        <v>1870352</v>
      </c>
      <c r="F18" s="400">
        <f t="shared" si="4"/>
        <v>-51695</v>
      </c>
      <c r="G18" s="397">
        <f t="shared" si="0"/>
        <v>1818657</v>
      </c>
      <c r="H18" s="400">
        <v>1795335</v>
      </c>
      <c r="I18" s="400">
        <f t="shared" si="5"/>
        <v>258452</v>
      </c>
      <c r="J18" s="397">
        <f t="shared" si="1"/>
        <v>2053787</v>
      </c>
      <c r="K18" s="400">
        <v>946241</v>
      </c>
      <c r="L18" s="400">
        <f t="shared" si="6"/>
        <v>133441</v>
      </c>
      <c r="M18" s="397">
        <f t="shared" si="2"/>
        <v>1079682</v>
      </c>
      <c r="N18" s="400">
        <v>711043</v>
      </c>
      <c r="O18" s="400">
        <f t="shared" si="7"/>
        <v>-12157</v>
      </c>
      <c r="P18" s="397">
        <f t="shared" si="3"/>
        <v>698886</v>
      </c>
      <c r="Q18" s="394">
        <f>+'2013 Admin Formula '!K17</f>
        <v>629889.84000000008</v>
      </c>
      <c r="R18" s="394">
        <f>+'2013 Admin Formula '!L17</f>
        <v>28543</v>
      </c>
      <c r="S18" s="398">
        <f t="shared" si="8"/>
        <v>6309444.8399999999</v>
      </c>
      <c r="T18" s="399">
        <f t="shared" si="9"/>
        <v>5651012</v>
      </c>
    </row>
    <row r="19" spans="1:20" ht="24" customHeight="1">
      <c r="A19" s="72"/>
      <c r="B19" s="114">
        <v>8</v>
      </c>
      <c r="C19" s="115">
        <f>+'2003 Base Factors'!F12</f>
        <v>8.5294045404828434E-2</v>
      </c>
      <c r="D19" s="103">
        <f>VLOOKUP(B19,'Pivot - Demographics'!$A$4:$F$16,6,0)</f>
        <v>9.0312367878102415E-2</v>
      </c>
      <c r="E19" s="391">
        <v>1920416</v>
      </c>
      <c r="F19" s="391">
        <f t="shared" si="4"/>
        <v>-53078</v>
      </c>
      <c r="G19" s="397">
        <f t="shared" si="0"/>
        <v>1867338</v>
      </c>
      <c r="H19" s="391">
        <v>1843391</v>
      </c>
      <c r="I19" s="391">
        <f t="shared" si="5"/>
        <v>249075</v>
      </c>
      <c r="J19" s="397">
        <f t="shared" si="1"/>
        <v>2092466</v>
      </c>
      <c r="K19" s="391">
        <v>971569</v>
      </c>
      <c r="L19" s="391">
        <f t="shared" si="6"/>
        <v>128599</v>
      </c>
      <c r="M19" s="397">
        <f t="shared" si="2"/>
        <v>1100168</v>
      </c>
      <c r="N19" s="391">
        <v>730076</v>
      </c>
      <c r="O19" s="391">
        <f t="shared" si="7"/>
        <v>-12482</v>
      </c>
      <c r="P19" s="397">
        <f t="shared" si="3"/>
        <v>717594</v>
      </c>
      <c r="Q19" s="394">
        <f>+'2013 Admin Formula '!K18</f>
        <v>710093.62000000011</v>
      </c>
      <c r="R19" s="394">
        <f>+'2013 Admin Formula '!L18</f>
        <v>32177</v>
      </c>
      <c r="S19" s="398">
        <f t="shared" si="8"/>
        <v>6519836.6200000001</v>
      </c>
      <c r="T19" s="399">
        <f t="shared" si="9"/>
        <v>5777566</v>
      </c>
    </row>
    <row r="20" spans="1:20" ht="24" customHeight="1">
      <c r="A20" s="72"/>
      <c r="B20" s="114">
        <v>9</v>
      </c>
      <c r="C20" s="115">
        <f>+'2003 Base Factors'!F13</f>
        <v>0.10247270052431458</v>
      </c>
      <c r="D20" s="103">
        <f>VLOOKUP(B20,'Pivot - Demographics'!$A$4:$F$16,6,0)</f>
        <v>0.10419788015118078</v>
      </c>
      <c r="E20" s="391">
        <v>2307198</v>
      </c>
      <c r="F20" s="391">
        <f t="shared" si="4"/>
        <v>-63769</v>
      </c>
      <c r="G20" s="397">
        <f t="shared" si="0"/>
        <v>2243429</v>
      </c>
      <c r="H20" s="391">
        <v>2214659</v>
      </c>
      <c r="I20" s="391">
        <f t="shared" si="5"/>
        <v>287370</v>
      </c>
      <c r="J20" s="397">
        <f t="shared" si="1"/>
        <v>2502029</v>
      </c>
      <c r="K20" s="391">
        <v>1167247</v>
      </c>
      <c r="L20" s="391">
        <f t="shared" si="6"/>
        <v>148372</v>
      </c>
      <c r="M20" s="397">
        <f t="shared" si="2"/>
        <v>1315619</v>
      </c>
      <c r="N20" s="391">
        <v>877117</v>
      </c>
      <c r="O20" s="391">
        <f t="shared" si="7"/>
        <v>-14996</v>
      </c>
      <c r="P20" s="397">
        <f t="shared" si="3"/>
        <v>862121</v>
      </c>
      <c r="Q20" s="394">
        <f>+'2013 Admin Formula '!K19</f>
        <v>767862.8600000001</v>
      </c>
      <c r="R20" s="394">
        <f>+'2013 Admin Formula '!L19</f>
        <v>34795</v>
      </c>
      <c r="S20" s="398">
        <f t="shared" si="8"/>
        <v>7725855.8600000003</v>
      </c>
      <c r="T20" s="399">
        <f t="shared" si="9"/>
        <v>6923198</v>
      </c>
    </row>
    <row r="21" spans="1:20" ht="24" customHeight="1">
      <c r="A21" s="72"/>
      <c r="B21" s="114">
        <v>10</v>
      </c>
      <c r="C21" s="115">
        <f>+'2003 Base Factors'!F14</f>
        <v>8.4656595220878122E-2</v>
      </c>
      <c r="D21" s="103">
        <f>VLOOKUP(B21,'Pivot - Demographics'!$A$4:$F$16,6,0)</f>
        <v>8.7602638759690571E-2</v>
      </c>
      <c r="E21" s="391">
        <v>1906064</v>
      </c>
      <c r="F21" s="391">
        <f t="shared" si="4"/>
        <v>-52682</v>
      </c>
      <c r="G21" s="397">
        <f t="shared" si="0"/>
        <v>1853382</v>
      </c>
      <c r="H21" s="391">
        <v>1829614</v>
      </c>
      <c r="I21" s="391">
        <f t="shared" si="5"/>
        <v>241602</v>
      </c>
      <c r="J21" s="397">
        <f t="shared" si="1"/>
        <v>2071216</v>
      </c>
      <c r="K21" s="391">
        <v>964307</v>
      </c>
      <c r="L21" s="391">
        <f t="shared" si="6"/>
        <v>124741</v>
      </c>
      <c r="M21" s="397">
        <f t="shared" si="2"/>
        <v>1089048</v>
      </c>
      <c r="N21" s="391">
        <v>724619</v>
      </c>
      <c r="O21" s="391">
        <f t="shared" si="7"/>
        <v>-12389</v>
      </c>
      <c r="P21" s="397">
        <f t="shared" si="3"/>
        <v>712230</v>
      </c>
      <c r="Q21" s="394">
        <f>+'2013 Admin Formula '!K20</f>
        <v>614755.32000000007</v>
      </c>
      <c r="R21" s="394">
        <f>+'2013 Admin Formula '!L20</f>
        <v>27857</v>
      </c>
      <c r="S21" s="398">
        <f t="shared" si="8"/>
        <v>6368488.3200000003</v>
      </c>
      <c r="T21" s="399">
        <f t="shared" si="9"/>
        <v>5725876</v>
      </c>
    </row>
    <row r="22" spans="1:20" ht="24" customHeight="1">
      <c r="A22" s="72"/>
      <c r="B22" s="114">
        <v>11</v>
      </c>
      <c r="C22" s="115">
        <f>+'2003 Base Factors'!F15</f>
        <v>0.19548146219557413</v>
      </c>
      <c r="D22" s="103">
        <f>VLOOKUP(B22,'Pivot - Demographics'!$A$4:$F$16,6,0)</f>
        <v>0.20256994943483403</v>
      </c>
      <c r="E22" s="391">
        <v>4401312</v>
      </c>
      <c r="F22" s="391">
        <f t="shared" si="4"/>
        <v>-121648</v>
      </c>
      <c r="G22" s="397">
        <f t="shared" si="0"/>
        <v>4279664</v>
      </c>
      <c r="H22" s="391">
        <f>4224784</f>
        <v>4224784</v>
      </c>
      <c r="I22" s="391">
        <f t="shared" si="5"/>
        <v>558673</v>
      </c>
      <c r="J22" s="397">
        <f t="shared" si="1"/>
        <v>4783457</v>
      </c>
      <c r="K22" s="391">
        <f>2226692</f>
        <v>2226692</v>
      </c>
      <c r="L22" s="391">
        <f t="shared" si="6"/>
        <v>288447</v>
      </c>
      <c r="M22" s="397">
        <f t="shared" si="2"/>
        <v>2515139</v>
      </c>
      <c r="N22" s="391">
        <f>1673226</f>
        <v>1673226</v>
      </c>
      <c r="O22" s="391">
        <f t="shared" si="7"/>
        <v>-28607</v>
      </c>
      <c r="P22" s="397">
        <f t="shared" si="3"/>
        <v>1644619</v>
      </c>
      <c r="Q22" s="394">
        <f>+'2013 Admin Formula '!K21</f>
        <v>1187806.5300000003</v>
      </c>
      <c r="R22" s="394">
        <f>+'2013 Admin Formula '!L21</f>
        <v>53825</v>
      </c>
      <c r="S22" s="398">
        <f t="shared" si="8"/>
        <v>14464510.530000001</v>
      </c>
      <c r="T22" s="399">
        <f t="shared" si="9"/>
        <v>13222879</v>
      </c>
    </row>
    <row r="23" spans="1:20" s="85" customFormat="1" ht="27" customHeight="1" thickBot="1">
      <c r="A23" s="73"/>
      <c r="B23" s="73" t="s">
        <v>1</v>
      </c>
      <c r="C23" s="104">
        <f t="shared" ref="C23" si="10">SUM(C12:C22)</f>
        <v>0.99999999999999989</v>
      </c>
      <c r="D23" s="104">
        <f t="shared" ref="D23:T23" si="11">SUM(D12:D22)</f>
        <v>0.99999999999999978</v>
      </c>
      <c r="E23" s="401">
        <f t="shared" si="11"/>
        <v>22515241</v>
      </c>
      <c r="F23" s="401">
        <f t="shared" si="11"/>
        <v>-622300</v>
      </c>
      <c r="G23" s="402">
        <f t="shared" si="11"/>
        <v>21892941</v>
      </c>
      <c r="H23" s="401">
        <f t="shared" si="11"/>
        <v>21612187</v>
      </c>
      <c r="I23" s="401">
        <f t="shared" si="11"/>
        <v>2757927</v>
      </c>
      <c r="J23" s="402">
        <f t="shared" si="11"/>
        <v>24370114</v>
      </c>
      <c r="K23" s="401">
        <f t="shared" si="11"/>
        <v>11390813</v>
      </c>
      <c r="L23" s="401">
        <f t="shared" ref="L23:M23" si="12">SUM(L12:L22)</f>
        <v>1423940</v>
      </c>
      <c r="M23" s="402">
        <f t="shared" si="12"/>
        <v>12814753</v>
      </c>
      <c r="N23" s="401">
        <f t="shared" si="11"/>
        <v>8559516</v>
      </c>
      <c r="O23" s="401">
        <f t="shared" si="11"/>
        <v>-146340</v>
      </c>
      <c r="P23" s="402">
        <f t="shared" si="11"/>
        <v>8413176</v>
      </c>
      <c r="Q23" s="403">
        <f t="shared" si="11"/>
        <v>7657574.0000000009</v>
      </c>
      <c r="R23" s="403">
        <f t="shared" si="11"/>
        <v>346998</v>
      </c>
      <c r="S23" s="404">
        <f t="shared" si="11"/>
        <v>75495556</v>
      </c>
      <c r="T23" s="405">
        <f t="shared" si="11"/>
        <v>67490984</v>
      </c>
    </row>
    <row r="24" spans="1:20">
      <c r="A24" s="61"/>
      <c r="B24" s="61"/>
      <c r="C24" s="61"/>
      <c r="D24" s="61"/>
      <c r="E24" s="70"/>
      <c r="F24" s="70"/>
      <c r="G24" s="70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70"/>
      <c r="T24" s="61"/>
    </row>
    <row r="25" spans="1:20">
      <c r="A25" s="61"/>
      <c r="B25" s="61"/>
      <c r="C25" s="61"/>
      <c r="D25" s="61"/>
      <c r="E25" s="70"/>
      <c r="F25" s="70"/>
      <c r="G25" s="70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70"/>
      <c r="T25" s="61"/>
    </row>
    <row r="26" spans="1:20">
      <c r="A26" s="61"/>
      <c r="B26" s="62" t="s">
        <v>143</v>
      </c>
      <c r="C26" s="61"/>
      <c r="D26" s="61"/>
      <c r="E26" s="70"/>
      <c r="F26" s="70"/>
      <c r="G26" s="70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70"/>
      <c r="T26" s="61"/>
    </row>
    <row r="27" spans="1:20">
      <c r="A27" s="61"/>
      <c r="B27" s="74" t="s">
        <v>218</v>
      </c>
      <c r="C27" s="61"/>
      <c r="D27" s="61"/>
      <c r="E27" s="86">
        <f>ROUND(('2013 Award #3'!C24),0)</f>
        <v>21892941</v>
      </c>
      <c r="F27" s="86"/>
      <c r="G27" s="86"/>
      <c r="H27" s="86">
        <f>ROUND((+'2013 Award #3'!D24),0)</f>
        <v>24370114</v>
      </c>
      <c r="I27" s="86"/>
      <c r="J27" s="86"/>
      <c r="K27" s="86">
        <f>ROUND((+'2013 Award #3'!E24),0)</f>
        <v>12814753</v>
      </c>
      <c r="L27" s="86"/>
      <c r="M27" s="86"/>
      <c r="N27" s="86">
        <f>ROUND((+'2013 Award #3'!G24),0)</f>
        <v>8413176</v>
      </c>
      <c r="O27" s="70"/>
      <c r="P27" s="70"/>
      <c r="Q27" s="70"/>
      <c r="R27" s="70"/>
      <c r="S27" s="70"/>
      <c r="T27" s="70"/>
    </row>
    <row r="28" spans="1:20">
      <c r="A28" s="61"/>
      <c r="B28" s="75" t="s">
        <v>141</v>
      </c>
      <c r="C28" s="61"/>
      <c r="D28" s="61"/>
      <c r="E28" s="87">
        <f>+E23</f>
        <v>22515241</v>
      </c>
      <c r="F28" s="86"/>
      <c r="G28" s="86"/>
      <c r="H28" s="87">
        <f>+H23</f>
        <v>21612187</v>
      </c>
      <c r="I28" s="86"/>
      <c r="J28" s="86"/>
      <c r="K28" s="87">
        <f>+K23</f>
        <v>11390813</v>
      </c>
      <c r="L28" s="86"/>
      <c r="M28" s="86"/>
      <c r="N28" s="87">
        <f>+N23</f>
        <v>8559516</v>
      </c>
      <c r="O28" s="70"/>
      <c r="P28" s="70"/>
      <c r="Q28" s="70"/>
      <c r="R28" s="70"/>
      <c r="S28" s="70"/>
      <c r="T28" s="70"/>
    </row>
    <row r="29" spans="1:20">
      <c r="A29" s="61"/>
      <c r="B29" s="98" t="s">
        <v>7</v>
      </c>
      <c r="C29" s="62"/>
      <c r="D29" s="62"/>
      <c r="E29" s="99">
        <f>+E27-E28</f>
        <v>-622300</v>
      </c>
      <c r="F29" s="99"/>
      <c r="G29" s="99"/>
      <c r="H29" s="99">
        <f>+H27-H28</f>
        <v>2757927</v>
      </c>
      <c r="I29" s="99"/>
      <c r="J29" s="99"/>
      <c r="K29" s="99">
        <f>+K27-K28</f>
        <v>1423940</v>
      </c>
      <c r="L29" s="99"/>
      <c r="M29" s="99"/>
      <c r="N29" s="99">
        <f>+N27-N28</f>
        <v>-146340</v>
      </c>
      <c r="O29" s="70"/>
      <c r="P29" s="70"/>
      <c r="Q29" s="70"/>
      <c r="R29" s="70"/>
      <c r="S29" s="70"/>
      <c r="T29" s="70"/>
    </row>
    <row r="30" spans="1:20">
      <c r="B30" s="75" t="s">
        <v>144</v>
      </c>
      <c r="E30" s="89">
        <f>+F23</f>
        <v>-622300</v>
      </c>
      <c r="F30" s="88"/>
      <c r="G30" s="88"/>
      <c r="H30" s="89">
        <f>+I23</f>
        <v>2757927</v>
      </c>
      <c r="I30" s="88"/>
      <c r="J30" s="88"/>
      <c r="K30" s="89">
        <f>+L23</f>
        <v>1423940</v>
      </c>
      <c r="L30" s="88"/>
      <c r="M30" s="88"/>
      <c r="N30" s="89">
        <f>+O23</f>
        <v>-146340</v>
      </c>
    </row>
    <row r="31" spans="1:20">
      <c r="A31" s="85"/>
      <c r="B31" s="75" t="s">
        <v>32</v>
      </c>
      <c r="E31" s="88">
        <f>+E29-E30</f>
        <v>0</v>
      </c>
      <c r="F31" s="88"/>
      <c r="G31" s="88"/>
      <c r="H31" s="88">
        <f>+H29-H30</f>
        <v>0</v>
      </c>
      <c r="I31" s="88"/>
      <c r="J31" s="88"/>
      <c r="K31" s="88">
        <f>+K29-K30</f>
        <v>0</v>
      </c>
      <c r="L31" s="88"/>
      <c r="M31" s="88"/>
      <c r="N31" s="88">
        <f>+N29-N30</f>
        <v>0</v>
      </c>
    </row>
    <row r="33" spans="2:2">
      <c r="B33" s="84" t="s">
        <v>159</v>
      </c>
    </row>
  </sheetData>
  <pageMargins left="0.5" right="0.5" top="0.75" bottom="0.75" header="0.5" footer="0.5"/>
  <pageSetup paperSize="5" scale="57" orientation="landscape" r:id="rId1"/>
  <headerFooter alignWithMargins="0">
    <oddFooter>&amp;L&amp;"-,Regular"&amp;9&amp;Z&amp;F&amp;C&amp;"-,Regular"&amp;9&amp;A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workbookViewId="0">
      <selection activeCell="L11" sqref="L11"/>
    </sheetView>
  </sheetViews>
  <sheetFormatPr defaultColWidth="7.109375" defaultRowHeight="15"/>
  <cols>
    <col min="1" max="1" width="7.109375" style="328" customWidth="1"/>
    <col min="2" max="2" width="10.88671875" style="328" customWidth="1"/>
    <col min="3" max="3" width="9.88671875" style="328" customWidth="1"/>
    <col min="4" max="4" width="9.44140625" style="328" customWidth="1"/>
    <col min="5" max="5" width="7.109375" style="328" customWidth="1"/>
    <col min="6" max="6" width="9.44140625" style="328" customWidth="1"/>
    <col min="7" max="7" width="11.88671875" style="328" customWidth="1"/>
    <col min="8" max="9" width="9.44140625" style="328" customWidth="1"/>
    <col min="10" max="10" width="10.33203125" style="328" customWidth="1"/>
    <col min="11" max="11" width="10.88671875" style="328" customWidth="1"/>
    <col min="12" max="12" width="11.33203125" style="328" customWidth="1"/>
    <col min="13" max="14" width="10.88671875" style="328" customWidth="1"/>
    <col min="15" max="15" width="9.21875" style="328" customWidth="1"/>
    <col min="16" max="16" width="8.33203125" style="328" customWidth="1"/>
    <col min="17" max="17" width="7.109375" style="328"/>
    <col min="18" max="18" width="9.21875" style="328" bestFit="1" customWidth="1"/>
    <col min="19" max="19" width="7.21875" style="328" bestFit="1" customWidth="1"/>
    <col min="20" max="16384" width="7.109375" style="328"/>
  </cols>
  <sheetData>
    <row r="1" spans="1:19" ht="15.75" customHeight="1">
      <c r="A1" s="327" t="str">
        <f>+'[2]2013 Award Sequestrian'!A2</f>
        <v>Grant Award: 2013 Older Americans Act Allocation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</row>
    <row r="2" spans="1:19" ht="15.75" customHeight="1">
      <c r="A2" s="329" t="s">
        <v>310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</row>
    <row r="3" spans="1:19" ht="15.75" customHeight="1">
      <c r="A3" s="329" t="s">
        <v>219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</row>
    <row r="4" spans="1:19" ht="15.75" customHeight="1">
      <c r="A4" s="330"/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</row>
    <row r="5" spans="1:19" ht="15.75" thickBot="1"/>
    <row r="6" spans="1:19" s="337" customFormat="1" ht="7.5" customHeight="1">
      <c r="A6" s="331"/>
      <c r="B6" s="332"/>
      <c r="C6" s="331"/>
      <c r="D6" s="331"/>
      <c r="E6" s="331"/>
      <c r="F6" s="331"/>
      <c r="G6" s="331"/>
      <c r="H6" s="331"/>
      <c r="I6" s="331"/>
      <c r="J6" s="331"/>
      <c r="K6" s="333"/>
      <c r="L6" s="333"/>
      <c r="M6" s="334"/>
      <c r="N6" s="335"/>
      <c r="O6" s="331"/>
      <c r="P6" s="331"/>
      <c r="Q6" s="336"/>
    </row>
    <row r="7" spans="1:19" s="337" customFormat="1">
      <c r="A7" s="338"/>
      <c r="B7" s="339" t="s">
        <v>122</v>
      </c>
      <c r="C7" s="338" t="s">
        <v>311</v>
      </c>
      <c r="D7" s="338"/>
      <c r="E7" s="338" t="s">
        <v>123</v>
      </c>
      <c r="F7" s="338"/>
      <c r="G7" s="338" t="s">
        <v>312</v>
      </c>
      <c r="H7" s="338"/>
      <c r="I7" s="338"/>
      <c r="J7" s="340">
        <f>J28</f>
        <v>2799276.67</v>
      </c>
      <c r="K7" s="341" t="s">
        <v>1</v>
      </c>
      <c r="L7" s="341">
        <v>346998</v>
      </c>
      <c r="M7" s="342" t="s">
        <v>1</v>
      </c>
      <c r="N7" s="343" t="s">
        <v>313</v>
      </c>
      <c r="O7" s="338"/>
      <c r="P7" s="338" t="s">
        <v>124</v>
      </c>
      <c r="Q7" s="336"/>
    </row>
    <row r="8" spans="1:19" s="337" customFormat="1">
      <c r="A8" s="338" t="s">
        <v>5</v>
      </c>
      <c r="B8" s="339" t="s">
        <v>125</v>
      </c>
      <c r="C8" s="338" t="s">
        <v>49</v>
      </c>
      <c r="D8" s="338" t="s">
        <v>126</v>
      </c>
      <c r="E8" s="338" t="s">
        <v>127</v>
      </c>
      <c r="F8" s="338" t="s">
        <v>128</v>
      </c>
      <c r="G8" s="338" t="s">
        <v>220</v>
      </c>
      <c r="H8" s="338" t="s">
        <v>128</v>
      </c>
      <c r="I8" s="338" t="s">
        <v>1</v>
      </c>
      <c r="J8" s="338" t="s">
        <v>129</v>
      </c>
      <c r="K8" s="344" t="s">
        <v>314</v>
      </c>
      <c r="L8" s="344" t="s">
        <v>315</v>
      </c>
      <c r="M8" s="345" t="s">
        <v>10</v>
      </c>
      <c r="N8" s="343" t="s">
        <v>10</v>
      </c>
      <c r="O8" s="338"/>
      <c r="P8" s="338" t="s">
        <v>7</v>
      </c>
      <c r="Q8" s="336"/>
    </row>
    <row r="9" spans="1:19" s="337" customFormat="1">
      <c r="A9" s="338"/>
      <c r="B9" s="339" t="s">
        <v>130</v>
      </c>
      <c r="C9" s="338" t="s">
        <v>131</v>
      </c>
      <c r="D9" s="338" t="s">
        <v>132</v>
      </c>
      <c r="E9" s="338" t="s">
        <v>133</v>
      </c>
      <c r="F9" s="338" t="s">
        <v>132</v>
      </c>
      <c r="G9" s="338" t="s">
        <v>134</v>
      </c>
      <c r="H9" s="338" t="s">
        <v>132</v>
      </c>
      <c r="I9" s="338" t="s">
        <v>135</v>
      </c>
      <c r="J9" s="338" t="s">
        <v>136</v>
      </c>
      <c r="K9" s="344" t="s">
        <v>316</v>
      </c>
      <c r="L9" s="344" t="s">
        <v>316</v>
      </c>
      <c r="M9" s="345" t="s">
        <v>317</v>
      </c>
      <c r="N9" s="343" t="s">
        <v>317</v>
      </c>
      <c r="O9" s="338" t="s">
        <v>318</v>
      </c>
      <c r="P9" s="338" t="s">
        <v>20</v>
      </c>
      <c r="Q9" s="336"/>
    </row>
    <row r="10" spans="1:19" s="337" customFormat="1" ht="7.5" customHeight="1" thickBot="1">
      <c r="A10" s="346"/>
      <c r="B10" s="347"/>
      <c r="C10" s="346"/>
      <c r="D10" s="346"/>
      <c r="E10" s="346"/>
      <c r="F10" s="346"/>
      <c r="G10" s="346"/>
      <c r="H10" s="346"/>
      <c r="I10" s="346"/>
      <c r="J10" s="346"/>
      <c r="K10" s="348"/>
      <c r="L10" s="348"/>
      <c r="M10" s="349"/>
      <c r="N10" s="350"/>
      <c r="O10" s="346"/>
      <c r="P10" s="351"/>
      <c r="Q10" s="336"/>
    </row>
    <row r="11" spans="1:19" ht="24" customHeight="1">
      <c r="A11" s="352">
        <v>1</v>
      </c>
      <c r="B11" s="452">
        <f>IF(('2013 Svcs &amp; Admin Allocation'!T12*0.07)&lt;230000,230000,('2013 Svcs &amp; Admin Allocation'!T12*0.07))</f>
        <v>230000</v>
      </c>
      <c r="C11" s="353">
        <f>VLOOKUP(A11,'Pivot - Demographics'!$A$4:$F$15,2,0)</f>
        <v>146837</v>
      </c>
      <c r="D11" s="354">
        <f t="shared" ref="D11:D21" si="0">SUM(C11/$C$22*0.5)</f>
        <v>1.57676164082775E-2</v>
      </c>
      <c r="E11" s="355">
        <v>4</v>
      </c>
      <c r="F11" s="354">
        <f t="shared" ref="F11:F21" si="1">SUM(E11/$E$22*0.25)</f>
        <v>1.4925373134328358E-2</v>
      </c>
      <c r="G11" s="407">
        <v>1224748</v>
      </c>
      <c r="H11" s="354">
        <f t="shared" ref="H11:H21" si="2">SUM(G11/$G$22*0.25)</f>
        <v>7.5110502002802802E-3</v>
      </c>
      <c r="I11" s="354">
        <f t="shared" ref="I11:I21" si="3">D11+F11+H11</f>
        <v>3.8204039742886137E-2</v>
      </c>
      <c r="J11" s="407">
        <f>ROUND(I11*$J$7,0)-0.23</f>
        <v>106943.77</v>
      </c>
      <c r="K11" s="409">
        <f>+B11+J11-0.1</f>
        <v>336943.67000000004</v>
      </c>
      <c r="L11" s="409">
        <f>ROUND($L$7*K11/$K$22,0)+1</f>
        <v>15269</v>
      </c>
      <c r="M11" s="410">
        <f>+K11+L11</f>
        <v>352212.67000000004</v>
      </c>
      <c r="N11" s="411">
        <v>376169</v>
      </c>
      <c r="O11" s="407">
        <f>M11-N11</f>
        <v>-23956.329999999958</v>
      </c>
      <c r="P11" s="356">
        <f t="shared" ref="P11:P21" si="4">SUM(O11/N11)</f>
        <v>-6.3685019233376383E-2</v>
      </c>
      <c r="R11" s="337"/>
      <c r="S11" s="337"/>
    </row>
    <row r="12" spans="1:19" ht="24" customHeight="1">
      <c r="A12" s="352">
        <v>2</v>
      </c>
      <c r="B12" s="453">
        <f>IF(('2013 Svcs &amp; Admin Allocation'!T13*0.07)&lt;230000,230000,('2013 Svcs &amp; Admin Allocation'!T13*0.07))</f>
        <v>230000</v>
      </c>
      <c r="C12" s="353">
        <f>VLOOKUP(A12,'Pivot - Demographics'!$A$4:$F$15,2,0)</f>
        <v>143847</v>
      </c>
      <c r="D12" s="354">
        <f t="shared" si="0"/>
        <v>1.5446544927242411E-2</v>
      </c>
      <c r="E12" s="355">
        <v>14</v>
      </c>
      <c r="F12" s="354">
        <f t="shared" si="1"/>
        <v>5.2238805970149252E-2</v>
      </c>
      <c r="G12" s="407">
        <v>1484828</v>
      </c>
      <c r="H12" s="354">
        <f t="shared" si="2"/>
        <v>9.1060509156020413E-3</v>
      </c>
      <c r="I12" s="354">
        <f t="shared" si="3"/>
        <v>7.6791401812993709E-2</v>
      </c>
      <c r="J12" s="407">
        <f t="shared" ref="J12:J21" si="5">ROUND(I12*$J$7,0)</f>
        <v>214960</v>
      </c>
      <c r="K12" s="409">
        <f t="shared" ref="K12:K21" si="6">+B12+J12</f>
        <v>444960</v>
      </c>
      <c r="L12" s="409">
        <f>ROUND($L$7*K12/$K$22,0)</f>
        <v>20163</v>
      </c>
      <c r="M12" s="410">
        <f t="shared" ref="M12:M21" si="7">+K12+L12</f>
        <v>465123</v>
      </c>
      <c r="N12" s="411">
        <v>509057</v>
      </c>
      <c r="O12" s="407">
        <f>M12-N12</f>
        <v>-43934</v>
      </c>
      <c r="P12" s="357">
        <f t="shared" si="4"/>
        <v>-8.6304677079384037E-2</v>
      </c>
      <c r="R12" s="337"/>
      <c r="S12" s="337"/>
    </row>
    <row r="13" spans="1:19" ht="24" customHeight="1">
      <c r="A13" s="352">
        <v>3</v>
      </c>
      <c r="B13" s="452">
        <f>IF(('2013 Svcs &amp; Admin Allocation'!T14*0.07)&lt;230000,230000,('2013 Svcs &amp; Admin Allocation'!T14*0.07))</f>
        <v>463648.36000000004</v>
      </c>
      <c r="C13" s="353">
        <f>VLOOKUP(A13,'Pivot - Demographics'!$A$4:$F$15,2,0)</f>
        <v>510254</v>
      </c>
      <c r="D13" s="354">
        <f t="shared" si="0"/>
        <v>5.4791975747183808E-2</v>
      </c>
      <c r="E13" s="355">
        <v>16</v>
      </c>
      <c r="F13" s="354">
        <f t="shared" si="1"/>
        <v>5.9701492537313432E-2</v>
      </c>
      <c r="G13" s="407">
        <v>3597636</v>
      </c>
      <c r="H13" s="354">
        <f t="shared" si="2"/>
        <v>2.2063334333540897E-2</v>
      </c>
      <c r="I13" s="354">
        <f t="shared" si="3"/>
        <v>0.13655680261803815</v>
      </c>
      <c r="J13" s="407">
        <f t="shared" si="5"/>
        <v>382260</v>
      </c>
      <c r="K13" s="409">
        <f t="shared" si="6"/>
        <v>845908.3600000001</v>
      </c>
      <c r="L13" s="409">
        <f t="shared" ref="L13:L21" si="8">ROUND($L$7*K13/$K$22,0)</f>
        <v>38332</v>
      </c>
      <c r="M13" s="410">
        <f t="shared" si="7"/>
        <v>884240.3600000001</v>
      </c>
      <c r="N13" s="411">
        <v>961972</v>
      </c>
      <c r="O13" s="407">
        <f t="shared" ref="O13:O21" si="9">M13-N13</f>
        <v>-77731.639999999898</v>
      </c>
      <c r="P13" s="357">
        <f t="shared" si="4"/>
        <v>-8.0804472479448358E-2</v>
      </c>
      <c r="R13" s="337"/>
      <c r="S13" s="337"/>
    </row>
    <row r="14" spans="1:19" ht="24" customHeight="1">
      <c r="A14" s="352">
        <v>4</v>
      </c>
      <c r="B14" s="452">
        <f>IF(('2013 Svcs &amp; Admin Allocation'!T15*0.07)&lt;230000,230000,('2013 Svcs &amp; Admin Allocation'!T15*0.07))</f>
        <v>412588.4</v>
      </c>
      <c r="C14" s="353">
        <f>VLOOKUP(A14,'Pivot - Demographics'!$A$4:$F$15,2,0)</f>
        <v>441338</v>
      </c>
      <c r="D14" s="354">
        <f t="shared" si="0"/>
        <v>4.7391653945506762E-2</v>
      </c>
      <c r="E14" s="355">
        <v>7</v>
      </c>
      <c r="F14" s="354">
        <f t="shared" si="1"/>
        <v>2.6119402985074626E-2</v>
      </c>
      <c r="G14" s="407">
        <v>3884396</v>
      </c>
      <c r="H14" s="354">
        <f t="shared" si="2"/>
        <v>2.3821956315722027E-2</v>
      </c>
      <c r="I14" s="354">
        <f t="shared" si="3"/>
        <v>9.7333013246303404E-2</v>
      </c>
      <c r="J14" s="407">
        <f t="shared" si="5"/>
        <v>272462</v>
      </c>
      <c r="K14" s="409">
        <f t="shared" si="6"/>
        <v>685050.4</v>
      </c>
      <c r="L14" s="409">
        <f t="shared" si="8"/>
        <v>31043</v>
      </c>
      <c r="M14" s="410">
        <f t="shared" si="7"/>
        <v>716093.4</v>
      </c>
      <c r="N14" s="411">
        <v>777746</v>
      </c>
      <c r="O14" s="407">
        <f t="shared" si="9"/>
        <v>-61652.599999999977</v>
      </c>
      <c r="P14" s="357">
        <f t="shared" si="4"/>
        <v>-7.9270867352580376E-2</v>
      </c>
      <c r="R14" s="337"/>
      <c r="S14" s="337"/>
    </row>
    <row r="15" spans="1:19" ht="24" customHeight="1">
      <c r="A15" s="352">
        <v>5</v>
      </c>
      <c r="B15" s="452">
        <f>IF(('2013 Svcs &amp; Admin Allocation'!T16*0.07)&lt;230000,230000,('2013 Svcs &amp; Admin Allocation'!T16*0.07))</f>
        <v>380765.56000000006</v>
      </c>
      <c r="C15" s="353">
        <f>VLOOKUP(A15,'Pivot - Demographics'!$A$4:$F$15,2,0)</f>
        <v>405472</v>
      </c>
      <c r="D15" s="354">
        <f t="shared" si="0"/>
        <v>4.3540299517812915E-2</v>
      </c>
      <c r="E15" s="355">
        <v>2</v>
      </c>
      <c r="F15" s="354">
        <f t="shared" si="1"/>
        <v>7.462686567164179E-3</v>
      </c>
      <c r="G15" s="407">
        <v>5701541</v>
      </c>
      <c r="H15" s="354">
        <f t="shared" si="2"/>
        <v>3.4966018046125598E-2</v>
      </c>
      <c r="I15" s="354">
        <f t="shared" si="3"/>
        <v>8.59690041311027E-2</v>
      </c>
      <c r="J15" s="407">
        <f t="shared" si="5"/>
        <v>240651</v>
      </c>
      <c r="K15" s="409">
        <f t="shared" si="6"/>
        <v>621416.56000000006</v>
      </c>
      <c r="L15" s="409">
        <f t="shared" si="8"/>
        <v>28159</v>
      </c>
      <c r="M15" s="410">
        <f t="shared" si="7"/>
        <v>649575.56000000006</v>
      </c>
      <c r="N15" s="411">
        <v>705771</v>
      </c>
      <c r="O15" s="407">
        <f t="shared" si="9"/>
        <v>-56195.439999999944</v>
      </c>
      <c r="P15" s="357">
        <f t="shared" si="4"/>
        <v>-7.9622767158185795E-2</v>
      </c>
      <c r="R15" s="337"/>
      <c r="S15" s="337"/>
    </row>
    <row r="16" spans="1:19" ht="22.5" customHeight="1">
      <c r="A16" s="352">
        <v>6</v>
      </c>
      <c r="B16" s="452">
        <f>IF(('2013 Svcs &amp; Admin Allocation'!T17*0.07)&lt;230000,230000,('2013 Svcs &amp; Admin Allocation'!T17*0.07))</f>
        <v>530257.84000000008</v>
      </c>
      <c r="C16" s="353">
        <f>VLOOKUP(A16,'Pivot - Demographics'!$A$4:$F$15,2,0)</f>
        <v>525650</v>
      </c>
      <c r="D16" s="354">
        <f t="shared" si="0"/>
        <v>5.6445225420098943E-2</v>
      </c>
      <c r="E16" s="355">
        <v>5</v>
      </c>
      <c r="F16" s="354">
        <f t="shared" si="1"/>
        <v>1.8656716417910446E-2</v>
      </c>
      <c r="G16" s="407">
        <v>4217205</v>
      </c>
      <c r="H16" s="354">
        <f t="shared" si="2"/>
        <v>2.5862984434245249E-2</v>
      </c>
      <c r="I16" s="354">
        <f t="shared" si="3"/>
        <v>0.10096492627225465</v>
      </c>
      <c r="J16" s="407">
        <f t="shared" si="5"/>
        <v>282629</v>
      </c>
      <c r="K16" s="409">
        <f t="shared" si="6"/>
        <v>812886.84000000008</v>
      </c>
      <c r="L16" s="409">
        <f t="shared" si="8"/>
        <v>36835</v>
      </c>
      <c r="M16" s="410">
        <f t="shared" si="7"/>
        <v>849721.84000000008</v>
      </c>
      <c r="N16" s="411">
        <v>905166</v>
      </c>
      <c r="O16" s="407">
        <f t="shared" si="9"/>
        <v>-55444.159999999916</v>
      </c>
      <c r="P16" s="357">
        <f t="shared" si="4"/>
        <v>-6.1253029830992234E-2</v>
      </c>
      <c r="R16" s="337"/>
      <c r="S16" s="337"/>
    </row>
    <row r="17" spans="1:19" ht="24" customHeight="1">
      <c r="A17" s="352">
        <v>7</v>
      </c>
      <c r="B17" s="452">
        <f>IF(('2013 Svcs &amp; Admin Allocation'!T18*0.07)&lt;230000,230000,('2013 Svcs &amp; Admin Allocation'!T18*0.07))</f>
        <v>395570.84</v>
      </c>
      <c r="C17" s="353">
        <f>VLOOKUP(A17,'Pivot - Demographics'!$A$4:$F$15,2,0)</f>
        <v>461548</v>
      </c>
      <c r="D17" s="354">
        <f t="shared" si="0"/>
        <v>4.9561839441065021E-2</v>
      </c>
      <c r="E17" s="355">
        <v>4</v>
      </c>
      <c r="F17" s="354">
        <f t="shared" si="1"/>
        <v>1.4925373134328358E-2</v>
      </c>
      <c r="G17" s="407">
        <v>3133947</v>
      </c>
      <c r="H17" s="354">
        <f t="shared" si="2"/>
        <v>1.9219654363197804E-2</v>
      </c>
      <c r="I17" s="354">
        <f t="shared" si="3"/>
        <v>8.3706866938591182E-2</v>
      </c>
      <c r="J17" s="407">
        <f t="shared" si="5"/>
        <v>234319</v>
      </c>
      <c r="K17" s="409">
        <f t="shared" si="6"/>
        <v>629889.84000000008</v>
      </c>
      <c r="L17" s="409">
        <f t="shared" si="8"/>
        <v>28543</v>
      </c>
      <c r="M17" s="410">
        <f t="shared" si="7"/>
        <v>658432.84000000008</v>
      </c>
      <c r="N17" s="411">
        <v>701050</v>
      </c>
      <c r="O17" s="407">
        <f t="shared" si="9"/>
        <v>-42617.159999999916</v>
      </c>
      <c r="P17" s="357">
        <f t="shared" si="4"/>
        <v>-6.0790471435703465E-2</v>
      </c>
      <c r="R17" s="337"/>
      <c r="S17" s="337"/>
    </row>
    <row r="18" spans="1:19" ht="24" customHeight="1">
      <c r="A18" s="352">
        <v>8</v>
      </c>
      <c r="B18" s="452">
        <f>IF(('2013 Svcs &amp; Admin Allocation'!T19*0.07)&lt;230000,230000,('2013 Svcs &amp; Admin Allocation'!T19*0.07))</f>
        <v>404429.62000000005</v>
      </c>
      <c r="C18" s="353">
        <f>VLOOKUP(A18,'Pivot - Demographics'!$A$4:$F$15,2,0)</f>
        <v>557259</v>
      </c>
      <c r="D18" s="354">
        <f t="shared" si="0"/>
        <v>5.9839455668941152E-2</v>
      </c>
      <c r="E18" s="355">
        <v>7</v>
      </c>
      <c r="F18" s="354">
        <f t="shared" si="1"/>
        <v>2.6119402985074626E-2</v>
      </c>
      <c r="G18" s="407">
        <v>3788689</v>
      </c>
      <c r="H18" s="354">
        <f t="shared" si="2"/>
        <v>2.3235011016347604E-2</v>
      </c>
      <c r="I18" s="354">
        <f t="shared" si="3"/>
        <v>0.10919386967036339</v>
      </c>
      <c r="J18" s="407">
        <f t="shared" si="5"/>
        <v>305664</v>
      </c>
      <c r="K18" s="409">
        <f t="shared" si="6"/>
        <v>710093.62000000011</v>
      </c>
      <c r="L18" s="409">
        <f t="shared" si="8"/>
        <v>32177</v>
      </c>
      <c r="M18" s="410">
        <f t="shared" si="7"/>
        <v>742270.62000000011</v>
      </c>
      <c r="N18" s="411">
        <v>812426</v>
      </c>
      <c r="O18" s="407">
        <f t="shared" si="9"/>
        <v>-70155.379999999888</v>
      </c>
      <c r="P18" s="357">
        <f t="shared" si="4"/>
        <v>-8.6352947837710622E-2</v>
      </c>
      <c r="R18" s="337"/>
      <c r="S18" s="337"/>
    </row>
    <row r="19" spans="1:19" ht="24" customHeight="1">
      <c r="A19" s="352">
        <v>9</v>
      </c>
      <c r="B19" s="452">
        <f>IF(('2013 Svcs &amp; Admin Allocation'!T20*0.07)&lt;230000,230000,('2013 Svcs &amp; Admin Allocation'!T20*0.07))</f>
        <v>484623.86000000004</v>
      </c>
      <c r="C19" s="353">
        <f>VLOOKUP(A19,'Pivot - Demographics'!$A$4:$F$15,2,0)</f>
        <v>567969</v>
      </c>
      <c r="D19" s="354">
        <f t="shared" si="0"/>
        <v>6.0989514385290933E-2</v>
      </c>
      <c r="E19" s="355">
        <v>5</v>
      </c>
      <c r="F19" s="354">
        <f t="shared" si="1"/>
        <v>1.8656716417910446E-2</v>
      </c>
      <c r="G19" s="407">
        <v>3511742</v>
      </c>
      <c r="H19" s="354">
        <f t="shared" si="2"/>
        <v>2.153656952485954E-2</v>
      </c>
      <c r="I19" s="354">
        <f t="shared" si="3"/>
        <v>0.10118280032806092</v>
      </c>
      <c r="J19" s="407">
        <f t="shared" si="5"/>
        <v>283239</v>
      </c>
      <c r="K19" s="409">
        <f t="shared" si="6"/>
        <v>767862.8600000001</v>
      </c>
      <c r="L19" s="409">
        <f t="shared" si="8"/>
        <v>34795</v>
      </c>
      <c r="M19" s="410">
        <f t="shared" si="7"/>
        <v>802657.8600000001</v>
      </c>
      <c r="N19" s="411">
        <v>863258</v>
      </c>
      <c r="O19" s="407">
        <f t="shared" si="9"/>
        <v>-60600.139999999898</v>
      </c>
      <c r="P19" s="357">
        <f t="shared" si="4"/>
        <v>-7.0199337857280095E-2</v>
      </c>
      <c r="R19" s="337"/>
      <c r="S19" s="337"/>
    </row>
    <row r="20" spans="1:19" ht="24" customHeight="1">
      <c r="A20" s="352">
        <v>10</v>
      </c>
      <c r="B20" s="452">
        <f>IF(('2013 Svcs &amp; Admin Allocation'!T21*0.07)&lt;230000,230000,('2013 Svcs &amp; Admin Allocation'!T21*0.07))</f>
        <v>400811.32000000007</v>
      </c>
      <c r="C20" s="353">
        <f>VLOOKUP(A20,'Pivot - Demographics'!$A$4:$F$15,2,0)</f>
        <v>369251</v>
      </c>
      <c r="D20" s="354">
        <f t="shared" si="0"/>
        <v>3.9650824563106549E-2</v>
      </c>
      <c r="E20" s="355">
        <v>1</v>
      </c>
      <c r="F20" s="354">
        <f t="shared" si="1"/>
        <v>3.7313432835820895E-3</v>
      </c>
      <c r="G20" s="407">
        <v>5388491</v>
      </c>
      <c r="H20" s="354">
        <f t="shared" si="2"/>
        <v>3.304616656223034E-2</v>
      </c>
      <c r="I20" s="354">
        <f t="shared" si="3"/>
        <v>7.6428334408918969E-2</v>
      </c>
      <c r="J20" s="407">
        <f t="shared" si="5"/>
        <v>213944</v>
      </c>
      <c r="K20" s="409">
        <f t="shared" si="6"/>
        <v>614755.32000000007</v>
      </c>
      <c r="L20" s="409">
        <f t="shared" si="8"/>
        <v>27857</v>
      </c>
      <c r="M20" s="410">
        <f t="shared" si="7"/>
        <v>642612.32000000007</v>
      </c>
      <c r="N20" s="411">
        <v>683683</v>
      </c>
      <c r="O20" s="407">
        <f t="shared" si="9"/>
        <v>-41070.679999999935</v>
      </c>
      <c r="P20" s="357">
        <f t="shared" si="4"/>
        <v>-6.0072694509004806E-2</v>
      </c>
      <c r="R20" s="337"/>
      <c r="S20" s="337"/>
    </row>
    <row r="21" spans="1:19" ht="24" customHeight="1">
      <c r="A21" s="352">
        <v>11</v>
      </c>
      <c r="B21" s="452">
        <f>IF(('2013 Svcs &amp; Admin Allocation'!T22*0.07)&lt;230000,230000,('2013 Svcs &amp; Admin Allocation'!T22*0.07))</f>
        <v>925601.53000000014</v>
      </c>
      <c r="C21" s="353">
        <f>VLOOKUP(A21,'Pivot - Demographics'!$A$4:$F$15,2,0)</f>
        <v>526859</v>
      </c>
      <c r="D21" s="354">
        <f t="shared" si="0"/>
        <v>5.6575049975474002E-2</v>
      </c>
      <c r="E21" s="355">
        <v>2</v>
      </c>
      <c r="F21" s="354">
        <f t="shared" si="1"/>
        <v>7.462686567164179E-3</v>
      </c>
      <c r="G21" s="407">
        <v>4831649</v>
      </c>
      <c r="H21" s="354">
        <f t="shared" si="2"/>
        <v>2.9631204287848618E-2</v>
      </c>
      <c r="I21" s="354">
        <f t="shared" si="3"/>
        <v>9.3668940830486797E-2</v>
      </c>
      <c r="J21" s="407">
        <f t="shared" si="5"/>
        <v>262205</v>
      </c>
      <c r="K21" s="409">
        <f t="shared" si="6"/>
        <v>1187806.5300000003</v>
      </c>
      <c r="L21" s="409">
        <f t="shared" si="8"/>
        <v>53825</v>
      </c>
      <c r="M21" s="410">
        <f t="shared" si="7"/>
        <v>1241631.5300000003</v>
      </c>
      <c r="N21" s="411">
        <v>1284565</v>
      </c>
      <c r="O21" s="407">
        <f t="shared" si="9"/>
        <v>-42933.469999999739</v>
      </c>
      <c r="P21" s="357">
        <f t="shared" si="4"/>
        <v>-3.3422574957281057E-2</v>
      </c>
      <c r="R21" s="337"/>
      <c r="S21" s="337"/>
    </row>
    <row r="22" spans="1:19" s="337" customFormat="1" ht="27" customHeight="1" thickBot="1">
      <c r="A22" s="358" t="s">
        <v>1</v>
      </c>
      <c r="B22" s="406">
        <f t="shared" ref="B22:O22" si="10">SUM(B11:B21)</f>
        <v>4858297.33</v>
      </c>
      <c r="C22" s="359">
        <f t="shared" si="10"/>
        <v>4656284</v>
      </c>
      <c r="D22" s="360">
        <f t="shared" si="10"/>
        <v>0.5</v>
      </c>
      <c r="E22" s="358">
        <f t="shared" si="10"/>
        <v>67</v>
      </c>
      <c r="F22" s="360">
        <f t="shared" si="10"/>
        <v>0.24999999999999997</v>
      </c>
      <c r="G22" s="408">
        <f t="shared" si="10"/>
        <v>40764872</v>
      </c>
      <c r="H22" s="360">
        <f t="shared" si="10"/>
        <v>0.25</v>
      </c>
      <c r="I22" s="360">
        <f t="shared" si="10"/>
        <v>1</v>
      </c>
      <c r="J22" s="408">
        <f>SUM(J11:J21)</f>
        <v>2799276.77</v>
      </c>
      <c r="K22" s="412">
        <f>SUM(K11:K21)</f>
        <v>7657574.0000000009</v>
      </c>
      <c r="L22" s="412">
        <f>SUM(L11:L21)</f>
        <v>346998</v>
      </c>
      <c r="M22" s="413">
        <f>SUM(M11:M21)</f>
        <v>8004572.0000000009</v>
      </c>
      <c r="N22" s="414">
        <f t="shared" si="10"/>
        <v>8580863</v>
      </c>
      <c r="O22" s="408">
        <f t="shared" si="10"/>
        <v>-576290.99999999907</v>
      </c>
      <c r="P22" s="361">
        <f>AVERAGE(P11:P21)</f>
        <v>-6.925262361190429E-2</v>
      </c>
    </row>
    <row r="23" spans="1:19" s="337" customFormat="1">
      <c r="A23" s="336"/>
      <c r="B23" s="362"/>
      <c r="C23" s="363"/>
      <c r="D23" s="364"/>
      <c r="F23" s="364"/>
      <c r="G23" s="362"/>
      <c r="H23" s="364"/>
      <c r="I23" s="364"/>
      <c r="J23" s="415"/>
      <c r="K23" s="416"/>
      <c r="L23" s="416"/>
      <c r="M23" s="416"/>
      <c r="N23" s="416"/>
      <c r="O23" s="416"/>
      <c r="P23" s="366"/>
    </row>
    <row r="24" spans="1:19" s="337" customFormat="1">
      <c r="A24" s="336"/>
      <c r="B24" s="362"/>
      <c r="C24" s="363"/>
      <c r="D24" s="364"/>
      <c r="F24" s="364"/>
      <c r="G24" s="362"/>
      <c r="H24" s="364"/>
      <c r="I24" s="364"/>
      <c r="J24" s="362"/>
      <c r="K24" s="365"/>
      <c r="L24" s="365"/>
      <c r="M24" s="365"/>
      <c r="N24" s="365"/>
      <c r="O24" s="365"/>
      <c r="P24" s="366"/>
    </row>
    <row r="25" spans="1:19" s="337" customFormat="1">
      <c r="A25" s="336"/>
      <c r="B25" s="362"/>
      <c r="C25" s="363"/>
      <c r="D25" s="364"/>
      <c r="F25" s="364"/>
      <c r="G25" s="362"/>
      <c r="H25" s="364"/>
      <c r="I25" s="364"/>
      <c r="J25" s="362"/>
      <c r="K25" s="365"/>
      <c r="L25" s="365"/>
      <c r="M25" s="365"/>
      <c r="N25" s="365"/>
      <c r="O25" s="365"/>
      <c r="P25" s="366"/>
    </row>
    <row r="26" spans="1:19" s="337" customFormat="1">
      <c r="A26" s="367" t="s">
        <v>143</v>
      </c>
      <c r="B26" s="328"/>
      <c r="C26" s="328"/>
      <c r="D26" s="328"/>
      <c r="E26" s="328"/>
      <c r="F26" s="328"/>
      <c r="G26" s="362"/>
      <c r="I26" s="368" t="s">
        <v>218</v>
      </c>
      <c r="J26" s="369">
        <f>+'2013 Award #3'!B23</f>
        <v>7657574</v>
      </c>
      <c r="K26" s="370">
        <f>+J26</f>
        <v>7657574</v>
      </c>
      <c r="L26" s="370">
        <f>+L7</f>
        <v>346998</v>
      </c>
      <c r="M26" s="365"/>
      <c r="N26" s="365"/>
      <c r="O26" s="365"/>
      <c r="P26" s="366"/>
    </row>
    <row r="27" spans="1:19">
      <c r="A27" s="367" t="s">
        <v>137</v>
      </c>
      <c r="B27" s="328" t="s">
        <v>319</v>
      </c>
      <c r="I27" s="328" t="s">
        <v>320</v>
      </c>
      <c r="J27" s="371">
        <f>+B22</f>
        <v>4858297.33</v>
      </c>
      <c r="K27" s="371">
        <f>+K22</f>
        <v>7657574.0000000009</v>
      </c>
      <c r="L27" s="371">
        <f>+L22</f>
        <v>346998</v>
      </c>
      <c r="M27" s="372"/>
    </row>
    <row r="28" spans="1:19">
      <c r="A28" s="367" t="s">
        <v>138</v>
      </c>
      <c r="B28" s="328" t="s">
        <v>139</v>
      </c>
      <c r="I28" s="328" t="s">
        <v>32</v>
      </c>
      <c r="J28" s="369">
        <f>+J26-J27</f>
        <v>2799276.67</v>
      </c>
      <c r="K28" s="369">
        <f>+K26-K27</f>
        <v>0</v>
      </c>
      <c r="L28" s="369">
        <f>+L26-L27</f>
        <v>0</v>
      </c>
      <c r="M28" s="372"/>
    </row>
    <row r="29" spans="1:19">
      <c r="J29" s="372"/>
      <c r="K29" s="372"/>
      <c r="L29" s="372"/>
      <c r="M29" s="372"/>
    </row>
    <row r="30" spans="1:19">
      <c r="K30" s="372"/>
      <c r="L30" s="372"/>
      <c r="M30" s="372"/>
    </row>
    <row r="31" spans="1:19">
      <c r="A31" s="337"/>
      <c r="O31" s="373"/>
    </row>
    <row r="32" spans="1:19">
      <c r="N32" s="373"/>
    </row>
  </sheetData>
  <pageMargins left="0.5" right="0.5" top="0.75" bottom="0.75" header="0.5" footer="0.5"/>
  <pageSetup paperSize="5" scale="86" orientation="landscape" r:id="rId1"/>
  <headerFooter alignWithMargins="0">
    <oddFooter>&amp;L&amp;"-,Regular"&amp;9&amp;Z&amp;F&amp;C&amp;"-,Regular"&amp;9&amp;A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BE36"/>
  <sheetViews>
    <sheetView workbookViewId="0">
      <selection activeCell="BG21" sqref="BG21"/>
    </sheetView>
  </sheetViews>
  <sheetFormatPr defaultRowHeight="15" outlineLevelCol="1"/>
  <cols>
    <col min="1" max="1" width="8.88671875" style="124"/>
    <col min="2" max="2" width="14.33203125" style="124" customWidth="1"/>
    <col min="3" max="3" width="10.44140625" style="124" customWidth="1"/>
    <col min="4" max="4" width="10.33203125" style="124" bestFit="1" customWidth="1"/>
    <col min="5" max="5" width="10.44140625" style="124" customWidth="1"/>
    <col min="6" max="6" width="10.88671875" style="124" customWidth="1"/>
    <col min="7" max="7" width="10.77734375" style="124" customWidth="1"/>
    <col min="8" max="8" width="10.33203125" style="124" customWidth="1"/>
    <col min="9" max="9" width="7.88671875" style="124" hidden="1" customWidth="1" outlineLevel="1"/>
    <col min="10" max="12" width="9.109375" style="124" hidden="1" customWidth="1" outlineLevel="1"/>
    <col min="13" max="14" width="10.33203125" style="124" hidden="1" customWidth="1" outlineLevel="1"/>
    <col min="15" max="15" width="4.88671875" style="124" hidden="1" customWidth="1" outlineLevel="1"/>
    <col min="16" max="16" width="7.88671875" style="124" hidden="1" customWidth="1" outlineLevel="1"/>
    <col min="17" max="19" width="9.109375" style="124" hidden="1" customWidth="1" outlineLevel="1"/>
    <col min="20" max="21" width="10.33203125" style="124" hidden="1" customWidth="1" outlineLevel="1"/>
    <col min="22" max="22" width="4.88671875" style="124" hidden="1" customWidth="1" outlineLevel="1"/>
    <col min="23" max="23" width="7.88671875" style="124" hidden="1" customWidth="1" outlineLevel="1"/>
    <col min="24" max="26" width="9.109375" style="124" hidden="1" customWidth="1" outlineLevel="1"/>
    <col min="27" max="28" width="10.33203125" style="124" hidden="1" customWidth="1" outlineLevel="1"/>
    <col min="29" max="29" width="4.88671875" style="124" hidden="1" customWidth="1" outlineLevel="1"/>
    <col min="30" max="30" width="7.88671875" style="124" hidden="1" customWidth="1" outlineLevel="1"/>
    <col min="31" max="33" width="9.109375" style="124" hidden="1" customWidth="1" outlineLevel="1"/>
    <col min="34" max="35" width="10.33203125" style="124" hidden="1" customWidth="1" outlineLevel="1"/>
    <col min="36" max="36" width="4.88671875" style="124" hidden="1" customWidth="1" outlineLevel="1"/>
    <col min="37" max="37" width="7.88671875" style="124" hidden="1" customWidth="1" outlineLevel="1"/>
    <col min="38" max="40" width="9.109375" style="124" hidden="1" customWidth="1" outlineLevel="1"/>
    <col min="41" max="42" width="10.33203125" style="124" hidden="1" customWidth="1" outlineLevel="1"/>
    <col min="43" max="43" width="4.88671875" style="124" hidden="1" customWidth="1" outlineLevel="1"/>
    <col min="44" max="44" width="7.6640625" style="124" hidden="1" customWidth="1" outlineLevel="1"/>
    <col min="45" max="47" width="9.109375" style="124" hidden="1" customWidth="1" outlineLevel="1"/>
    <col min="48" max="49" width="10.33203125" style="124" hidden="1" customWidth="1" outlineLevel="1"/>
    <col min="50" max="50" width="10.6640625" style="124" hidden="1" customWidth="1" outlineLevel="1"/>
    <col min="51" max="52" width="11.21875" style="124" hidden="1" customWidth="1" outlineLevel="1"/>
    <col min="53" max="53" width="9" style="124" hidden="1" customWidth="1" outlineLevel="1"/>
    <col min="54" max="54" width="1.77734375" style="122" customWidth="1" collapsed="1"/>
    <col min="55" max="55" width="11.21875" style="124" hidden="1" customWidth="1"/>
    <col min="56" max="56" width="9" style="124" hidden="1" customWidth="1"/>
    <col min="57" max="57" width="10.33203125" style="124" hidden="1" customWidth="1"/>
    <col min="58" max="16384" width="8.88671875" style="124"/>
  </cols>
  <sheetData>
    <row r="1" spans="1:57" s="122" customFormat="1" ht="18.75">
      <c r="A1" s="121" t="str">
        <f>+'2013 Award #3'!2:2</f>
        <v>Grant Award: 2013 Older Americans Act Allocation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W1" s="121"/>
      <c r="X1" s="121"/>
      <c r="Y1" s="121"/>
      <c r="Z1" s="121"/>
      <c r="AA1" s="121"/>
      <c r="AB1" s="121"/>
      <c r="AD1" s="121"/>
      <c r="AE1" s="121"/>
      <c r="AF1" s="121"/>
      <c r="AG1" s="121"/>
      <c r="AH1" s="121"/>
      <c r="AI1" s="121"/>
      <c r="AK1" s="121"/>
      <c r="AL1" s="121"/>
      <c r="AM1" s="121"/>
      <c r="AN1" s="121"/>
      <c r="AO1" s="121"/>
      <c r="AP1" s="121"/>
    </row>
    <row r="2" spans="1:57" s="122" customFormat="1">
      <c r="A2" s="123" t="s">
        <v>160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W2" s="123"/>
      <c r="X2" s="123"/>
      <c r="Y2" s="123"/>
      <c r="Z2" s="123"/>
      <c r="AA2" s="123"/>
      <c r="AB2" s="123"/>
      <c r="AD2" s="123"/>
      <c r="AE2" s="123"/>
      <c r="AF2" s="123"/>
      <c r="AG2" s="123"/>
      <c r="AH2" s="123"/>
      <c r="AI2" s="123"/>
      <c r="AK2" s="123"/>
      <c r="AL2" s="123"/>
      <c r="AM2" s="123"/>
      <c r="AN2" s="123"/>
      <c r="AO2" s="123"/>
      <c r="AP2" s="123"/>
    </row>
    <row r="3" spans="1:57" s="122" customFormat="1">
      <c r="A3" s="123" t="s">
        <v>219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W3" s="123"/>
      <c r="X3" s="123"/>
      <c r="Y3" s="123"/>
      <c r="Z3" s="123"/>
      <c r="AA3" s="123"/>
      <c r="AB3" s="123"/>
      <c r="AD3" s="123"/>
      <c r="AE3" s="123"/>
      <c r="AF3" s="123"/>
      <c r="AG3" s="123"/>
      <c r="AH3" s="123"/>
      <c r="AI3" s="123"/>
      <c r="AK3" s="123"/>
      <c r="AL3" s="123"/>
      <c r="AM3" s="123"/>
      <c r="AN3" s="123"/>
      <c r="AO3" s="123"/>
      <c r="AP3" s="123"/>
    </row>
    <row r="5" spans="1:57" ht="15.75" thickBot="1"/>
    <row r="6" spans="1:57" s="127" customFormat="1" ht="26.25" customHeight="1">
      <c r="A6" s="207"/>
      <c r="B6" s="125" t="s">
        <v>140</v>
      </c>
      <c r="C6" s="489" t="s">
        <v>220</v>
      </c>
      <c r="D6" s="490"/>
      <c r="E6" s="490"/>
      <c r="F6" s="489" t="s">
        <v>161</v>
      </c>
      <c r="G6" s="490"/>
      <c r="H6" s="491"/>
      <c r="I6" s="492" t="s">
        <v>162</v>
      </c>
      <c r="J6" s="493"/>
      <c r="K6" s="493"/>
      <c r="L6" s="493"/>
      <c r="M6" s="493"/>
      <c r="N6" s="494"/>
      <c r="O6" s="495"/>
      <c r="P6" s="496" t="s">
        <v>163</v>
      </c>
      <c r="Q6" s="493"/>
      <c r="R6" s="493"/>
      <c r="S6" s="493"/>
      <c r="T6" s="493"/>
      <c r="U6" s="494"/>
      <c r="V6" s="495"/>
      <c r="W6" s="496" t="s">
        <v>164</v>
      </c>
      <c r="X6" s="493"/>
      <c r="Y6" s="493"/>
      <c r="Z6" s="493"/>
      <c r="AA6" s="493"/>
      <c r="AB6" s="494"/>
      <c r="AC6" s="495"/>
      <c r="AD6" s="496" t="s">
        <v>165</v>
      </c>
      <c r="AE6" s="493"/>
      <c r="AF6" s="493"/>
      <c r="AG6" s="493"/>
      <c r="AH6" s="493"/>
      <c r="AI6" s="494"/>
      <c r="AJ6" s="495"/>
      <c r="AK6" s="496" t="s">
        <v>166</v>
      </c>
      <c r="AL6" s="493"/>
      <c r="AM6" s="493"/>
      <c r="AN6" s="493"/>
      <c r="AO6" s="493"/>
      <c r="AP6" s="494"/>
      <c r="AQ6" s="495"/>
      <c r="AR6" s="496" t="s">
        <v>167</v>
      </c>
      <c r="AS6" s="493"/>
      <c r="AT6" s="493"/>
      <c r="AU6" s="493"/>
      <c r="AV6" s="493"/>
      <c r="AW6" s="494"/>
      <c r="AX6" s="495"/>
      <c r="AY6" s="497" t="s">
        <v>168</v>
      </c>
      <c r="AZ6" s="498"/>
      <c r="BA6" s="498"/>
      <c r="BB6" s="126"/>
      <c r="BC6" s="208"/>
    </row>
    <row r="7" spans="1:57" ht="55.5" customHeight="1">
      <c r="A7" s="128" t="s">
        <v>5</v>
      </c>
      <c r="B7" s="170" t="s">
        <v>169</v>
      </c>
      <c r="C7" s="291" t="s">
        <v>202</v>
      </c>
      <c r="D7" s="171" t="s">
        <v>170</v>
      </c>
      <c r="E7" s="172" t="s">
        <v>171</v>
      </c>
      <c r="F7" s="173" t="s">
        <v>172</v>
      </c>
      <c r="G7" s="296" t="s">
        <v>173</v>
      </c>
      <c r="H7" s="174" t="s">
        <v>174</v>
      </c>
      <c r="I7" s="175" t="s">
        <v>175</v>
      </c>
      <c r="J7" s="171" t="s">
        <v>176</v>
      </c>
      <c r="K7" s="171" t="s">
        <v>177</v>
      </c>
      <c r="L7" s="171" t="s">
        <v>178</v>
      </c>
      <c r="M7" s="171" t="s">
        <v>179</v>
      </c>
      <c r="N7" s="172" t="s">
        <v>180</v>
      </c>
      <c r="O7" s="176" t="s">
        <v>181</v>
      </c>
      <c r="P7" s="177" t="s">
        <v>175</v>
      </c>
      <c r="Q7" s="171" t="s">
        <v>176</v>
      </c>
      <c r="R7" s="171" t="s">
        <v>177</v>
      </c>
      <c r="S7" s="171" t="s">
        <v>178</v>
      </c>
      <c r="T7" s="171" t="s">
        <v>179</v>
      </c>
      <c r="U7" s="172" t="s">
        <v>180</v>
      </c>
      <c r="V7" s="176" t="s">
        <v>181</v>
      </c>
      <c r="W7" s="177" t="s">
        <v>175</v>
      </c>
      <c r="X7" s="171" t="s">
        <v>176</v>
      </c>
      <c r="Y7" s="171" t="s">
        <v>177</v>
      </c>
      <c r="Z7" s="171" t="s">
        <v>178</v>
      </c>
      <c r="AA7" s="171" t="s">
        <v>179</v>
      </c>
      <c r="AB7" s="172" t="s">
        <v>180</v>
      </c>
      <c r="AC7" s="176" t="s">
        <v>181</v>
      </c>
      <c r="AD7" s="177" t="s">
        <v>175</v>
      </c>
      <c r="AE7" s="171" t="s">
        <v>176</v>
      </c>
      <c r="AF7" s="171" t="s">
        <v>177</v>
      </c>
      <c r="AG7" s="171" t="s">
        <v>178</v>
      </c>
      <c r="AH7" s="171" t="s">
        <v>179</v>
      </c>
      <c r="AI7" s="172" t="s">
        <v>180</v>
      </c>
      <c r="AJ7" s="176" t="s">
        <v>181</v>
      </c>
      <c r="AK7" s="177" t="s">
        <v>175</v>
      </c>
      <c r="AL7" s="171" t="s">
        <v>176</v>
      </c>
      <c r="AM7" s="171" t="s">
        <v>177</v>
      </c>
      <c r="AN7" s="171" t="s">
        <v>178</v>
      </c>
      <c r="AO7" s="171" t="s">
        <v>179</v>
      </c>
      <c r="AP7" s="172" t="s">
        <v>180</v>
      </c>
      <c r="AQ7" s="176" t="s">
        <v>181</v>
      </c>
      <c r="AR7" s="177" t="s">
        <v>175</v>
      </c>
      <c r="AS7" s="171" t="s">
        <v>176</v>
      </c>
      <c r="AT7" s="171" t="s">
        <v>177</v>
      </c>
      <c r="AU7" s="171" t="s">
        <v>178</v>
      </c>
      <c r="AV7" s="171" t="s">
        <v>179</v>
      </c>
      <c r="AW7" s="172" t="s">
        <v>180</v>
      </c>
      <c r="AX7" s="172" t="s">
        <v>182</v>
      </c>
      <c r="AY7" s="177" t="s">
        <v>179</v>
      </c>
      <c r="AZ7" s="178" t="s">
        <v>174</v>
      </c>
      <c r="BA7" s="172" t="s">
        <v>183</v>
      </c>
      <c r="BB7" s="390"/>
      <c r="BC7" s="178" t="s">
        <v>32</v>
      </c>
      <c r="BD7" s="488" t="s">
        <v>189</v>
      </c>
      <c r="BE7" s="488"/>
    </row>
    <row r="8" spans="1:57" ht="18.75" customHeight="1">
      <c r="A8" s="128">
        <v>1</v>
      </c>
      <c r="B8" s="129">
        <v>89775</v>
      </c>
      <c r="C8" s="292">
        <f>VLOOKUP(A8,[3]Pivot!$A$4:$C$15,2,0)</f>
        <v>23109</v>
      </c>
      <c r="D8" s="293">
        <f>VLOOKUP(A8,[3]Pivot!$A$4:$C$15,3,0)</f>
        <v>11800.774328722573</v>
      </c>
      <c r="E8" s="130">
        <f>ROUND((0.5*(C8/C$19) + 0.5*(D8/D$19))*$C$24,0)+1</f>
        <v>38229</v>
      </c>
      <c r="F8" s="131">
        <f>IF(B8&gt;E8,B8,E8)</f>
        <v>89775</v>
      </c>
      <c r="G8" s="297">
        <f>ROUND((+B8-(F8/$F$19)*($B$19-$C$24)),0)</f>
        <v>84344</v>
      </c>
      <c r="H8" s="132">
        <f>+G8-B8</f>
        <v>-5431</v>
      </c>
      <c r="I8" s="133">
        <f>IF(E8&lt;B8,1,0)</f>
        <v>1</v>
      </c>
      <c r="J8" s="134">
        <f t="shared" ref="J8:J18" si="0">E8*(1-I8)</f>
        <v>0</v>
      </c>
      <c r="K8" s="134">
        <f>IF(E8&lt;B8,$B8,0)</f>
        <v>89775</v>
      </c>
      <c r="L8" s="134">
        <f t="shared" ref="L8:L18" si="1">ROUND(IF(K8=0,-E8+((J8/J$19)*($C$24-K$19)),0),0)</f>
        <v>0</v>
      </c>
      <c r="M8" s="134">
        <f>SUM(J8:L8)</f>
        <v>89775</v>
      </c>
      <c r="N8" s="135">
        <f>+M8-$B8</f>
        <v>0</v>
      </c>
      <c r="O8" s="136">
        <f>IF(M8&lt;$B8,1,0)</f>
        <v>0</v>
      </c>
      <c r="P8" s="137">
        <f>O8+I8</f>
        <v>1</v>
      </c>
      <c r="Q8" s="134">
        <f>M8*(1-P8)</f>
        <v>0</v>
      </c>
      <c r="R8" s="134">
        <f>IF(P8=1,$B8,0)</f>
        <v>89775</v>
      </c>
      <c r="S8" s="134">
        <f t="shared" ref="S8:S18" si="2">ROUND(IF(R8=0,-M8+((Q8/Q$19)*($C$24-R$19)),0),0)</f>
        <v>0</v>
      </c>
      <c r="T8" s="134">
        <f>SUM(Q8:S8)</f>
        <v>89775</v>
      </c>
      <c r="U8" s="135">
        <f>+T8-$B8</f>
        <v>0</v>
      </c>
      <c r="V8" s="136">
        <f>IF(T8&lt;$B8,1,0)</f>
        <v>0</v>
      </c>
      <c r="W8" s="137">
        <f>V8+P8</f>
        <v>1</v>
      </c>
      <c r="X8" s="134">
        <f>T8*(1-W8)</f>
        <v>0</v>
      </c>
      <c r="Y8" s="134">
        <f>IF(W8=1,$B8,0)</f>
        <v>89775</v>
      </c>
      <c r="Z8" s="134">
        <f t="shared" ref="Z8:Z18" si="3">ROUND(IF(Y8=0,-T8+((X8/X$19)*($C$24-Y$19)),0),0)</f>
        <v>0</v>
      </c>
      <c r="AA8" s="134">
        <f>SUM(X8:Z8)</f>
        <v>89775</v>
      </c>
      <c r="AB8" s="135">
        <f>+AA8-$B8</f>
        <v>0</v>
      </c>
      <c r="AC8" s="136">
        <f>IF(AA8&lt;$B8,1,0)</f>
        <v>0</v>
      </c>
      <c r="AD8" s="137">
        <f>AC8+W8</f>
        <v>1</v>
      </c>
      <c r="AE8" s="134">
        <f>AA8*(1-AD8)</f>
        <v>0</v>
      </c>
      <c r="AF8" s="134">
        <f>IF(AD8=1,$B8,0)</f>
        <v>89775</v>
      </c>
      <c r="AG8" s="134">
        <f t="shared" ref="AG8:AG18" si="4">ROUND(IF(AF8=0,-AA8+((AE8/AE$19)*($C$24-AF$19)),0),0)</f>
        <v>0</v>
      </c>
      <c r="AH8" s="134">
        <f>SUM(AE8:AG8)</f>
        <v>89775</v>
      </c>
      <c r="AI8" s="135">
        <f>+AH8-$B8</f>
        <v>0</v>
      </c>
      <c r="AJ8" s="136">
        <f>IF(AH8&lt;$B8,1,0)</f>
        <v>0</v>
      </c>
      <c r="AK8" s="137">
        <f>AJ8+AD8</f>
        <v>1</v>
      </c>
      <c r="AL8" s="134">
        <f>AH8*(1-AK8)</f>
        <v>0</v>
      </c>
      <c r="AM8" s="134">
        <f>IF(AK8=1,$B8,0)</f>
        <v>89775</v>
      </c>
      <c r="AN8" s="134">
        <f t="shared" ref="AN8:AN18" si="5">ROUND(IF(AM8=0,-AH8+((AL8/AL$19)*($C$24-AM$19)),0),0)</f>
        <v>0</v>
      </c>
      <c r="AO8" s="134">
        <f>SUM(AL8:AN8)</f>
        <v>89775</v>
      </c>
      <c r="AP8" s="135">
        <f>+AO8-$B8</f>
        <v>0</v>
      </c>
      <c r="AQ8" s="136">
        <f>IF(AO8&lt;$B8,1,0)</f>
        <v>0</v>
      </c>
      <c r="AR8" s="137">
        <f>AQ8+AK8</f>
        <v>1</v>
      </c>
      <c r="AS8" s="134">
        <f>AO8*(1-AR8)</f>
        <v>0</v>
      </c>
      <c r="AT8" s="134">
        <f>IF(AR8=1,$B8,0)</f>
        <v>89775</v>
      </c>
      <c r="AU8" s="134">
        <f t="shared" ref="AU8:AU18" si="6">ROUND(IF(AT8=0,-AO8+((AS8/AS$19)*($C$24-AT$19)),0),0)</f>
        <v>0</v>
      </c>
      <c r="AV8" s="134">
        <f>SUM(AS8:AU8)</f>
        <v>89775</v>
      </c>
      <c r="AW8" s="135">
        <f>+AV8-$B8</f>
        <v>0</v>
      </c>
      <c r="AX8" s="135">
        <f>+AV8-AO8</f>
        <v>0</v>
      </c>
      <c r="AY8" s="138">
        <f>IF(AX8=0,(ROUND(B8-(ROUND((AV8/AV$19)*(B$19-$C$24),0)),0)),"NO")-1</f>
        <v>83898</v>
      </c>
      <c r="AZ8" s="139">
        <f>AY8-B8</f>
        <v>-5877</v>
      </c>
      <c r="BA8" s="135">
        <f>+H8-AZ8</f>
        <v>446</v>
      </c>
      <c r="BB8" s="140"/>
      <c r="BC8" s="141" t="e">
        <f>+G8-#REF!</f>
        <v>#REF!</v>
      </c>
      <c r="BD8" s="141">
        <v>18903</v>
      </c>
      <c r="BE8" s="141">
        <v>72139</v>
      </c>
    </row>
    <row r="9" spans="1:57" ht="18.75" customHeight="1">
      <c r="A9" s="128">
        <v>2</v>
      </c>
      <c r="B9" s="129">
        <v>78454</v>
      </c>
      <c r="C9" s="292">
        <f>VLOOKUP(A9,[3]Pivot!$A$4:$C$15,2,0)</f>
        <v>52818</v>
      </c>
      <c r="D9" s="293">
        <f>VLOOKUP(A9,[3]Pivot!$A$4:$C$15,3,0)</f>
        <v>15506.477577221689</v>
      </c>
      <c r="E9" s="130">
        <f t="shared" ref="E9:E18" si="7">ROUND((0.5*(C9/C$19) + 0.5*(D9/D$19))*$C$24,0)</f>
        <v>69295</v>
      </c>
      <c r="F9" s="131">
        <f t="shared" ref="F9:F18" si="8">IF(B9&gt;E9,B9,E9)</f>
        <v>78454</v>
      </c>
      <c r="G9" s="297">
        <f t="shared" ref="G9:G18" si="9">ROUND((+B9-(F9/$F$19)*($B$19-$C$24)),0)</f>
        <v>73708</v>
      </c>
      <c r="H9" s="132">
        <f t="shared" ref="H9:H18" si="10">+G9-B9</f>
        <v>-4746</v>
      </c>
      <c r="I9" s="133">
        <f t="shared" ref="I9:I18" si="11">IF(E9&lt;B9,1,0)</f>
        <v>1</v>
      </c>
      <c r="J9" s="134">
        <f t="shared" si="0"/>
        <v>0</v>
      </c>
      <c r="K9" s="134">
        <f t="shared" ref="K9:K18" si="12">IF(E9&lt;B9,$B9,0)</f>
        <v>78454</v>
      </c>
      <c r="L9" s="134">
        <f t="shared" si="1"/>
        <v>0</v>
      </c>
      <c r="M9" s="134">
        <f t="shared" ref="M9:M18" si="13">SUM(J9:L9)</f>
        <v>78454</v>
      </c>
      <c r="N9" s="135">
        <f t="shared" ref="N9:N18" si="14">+M9-$B9</f>
        <v>0</v>
      </c>
      <c r="O9" s="136">
        <f t="shared" ref="O9:O18" si="15">IF(M9&lt;$B9,1,0)</f>
        <v>0</v>
      </c>
      <c r="P9" s="137">
        <f t="shared" ref="P9:P18" si="16">O9+I9</f>
        <v>1</v>
      </c>
      <c r="Q9" s="134">
        <f t="shared" ref="Q9:Q18" si="17">M9*(1-P9)</f>
        <v>0</v>
      </c>
      <c r="R9" s="134">
        <f t="shared" ref="R9:R18" si="18">IF(P9=1,$B9,0)</f>
        <v>78454</v>
      </c>
      <c r="S9" s="134">
        <f t="shared" si="2"/>
        <v>0</v>
      </c>
      <c r="T9" s="134">
        <f t="shared" ref="T9:T18" si="19">SUM(Q9:S9)</f>
        <v>78454</v>
      </c>
      <c r="U9" s="135">
        <f t="shared" ref="U9:U18" si="20">+T9-$B9</f>
        <v>0</v>
      </c>
      <c r="V9" s="136">
        <f t="shared" ref="V9:V18" si="21">IF(T9&lt;$B9,1,0)</f>
        <v>0</v>
      </c>
      <c r="W9" s="137">
        <f t="shared" ref="W9:W18" si="22">V9+P9</f>
        <v>1</v>
      </c>
      <c r="X9" s="134">
        <f t="shared" ref="X9:X18" si="23">T9*(1-W9)</f>
        <v>0</v>
      </c>
      <c r="Y9" s="134">
        <f t="shared" ref="Y9:Y18" si="24">IF(W9=1,$B9,0)</f>
        <v>78454</v>
      </c>
      <c r="Z9" s="134">
        <f t="shared" si="3"/>
        <v>0</v>
      </c>
      <c r="AA9" s="134">
        <f t="shared" ref="AA9:AA18" si="25">SUM(X9:Z9)</f>
        <v>78454</v>
      </c>
      <c r="AB9" s="135">
        <f t="shared" ref="AB9:AB18" si="26">+AA9-$B9</f>
        <v>0</v>
      </c>
      <c r="AC9" s="136">
        <f t="shared" ref="AC9:AC18" si="27">IF(AA9&lt;$B9,1,0)</f>
        <v>0</v>
      </c>
      <c r="AD9" s="137">
        <f t="shared" ref="AD9:AD18" si="28">AC9+W9</f>
        <v>1</v>
      </c>
      <c r="AE9" s="134">
        <f t="shared" ref="AE9:AE18" si="29">AA9*(1-AD9)</f>
        <v>0</v>
      </c>
      <c r="AF9" s="134">
        <f t="shared" ref="AF9:AF18" si="30">IF(AD9=1,$B9,0)</f>
        <v>78454</v>
      </c>
      <c r="AG9" s="134">
        <f t="shared" si="4"/>
        <v>0</v>
      </c>
      <c r="AH9" s="134">
        <f t="shared" ref="AH9:AH18" si="31">SUM(AE9:AG9)</f>
        <v>78454</v>
      </c>
      <c r="AI9" s="135">
        <f t="shared" ref="AI9:AI18" si="32">+AH9-$B9</f>
        <v>0</v>
      </c>
      <c r="AJ9" s="136">
        <f t="shared" ref="AJ9:AJ18" si="33">IF(AH9&lt;$B9,1,0)</f>
        <v>0</v>
      </c>
      <c r="AK9" s="137">
        <f t="shared" ref="AK9:AK18" si="34">AJ9+AD9</f>
        <v>1</v>
      </c>
      <c r="AL9" s="134">
        <f t="shared" ref="AL9:AL18" si="35">AH9*(1-AK9)</f>
        <v>0</v>
      </c>
      <c r="AM9" s="134">
        <f t="shared" ref="AM9:AM18" si="36">IF(AK9=1,$B9,0)</f>
        <v>78454</v>
      </c>
      <c r="AN9" s="134">
        <f t="shared" si="5"/>
        <v>0</v>
      </c>
      <c r="AO9" s="134">
        <f t="shared" ref="AO9:AO18" si="37">SUM(AL9:AN9)</f>
        <v>78454</v>
      </c>
      <c r="AP9" s="135">
        <f t="shared" ref="AP9:AP18" si="38">+AO9-$B9</f>
        <v>0</v>
      </c>
      <c r="AQ9" s="136">
        <f t="shared" ref="AQ9:AQ18" si="39">IF(AO9&lt;$B9,1,0)</f>
        <v>0</v>
      </c>
      <c r="AR9" s="137">
        <f t="shared" ref="AR9:AR18" si="40">AQ9+AK9</f>
        <v>1</v>
      </c>
      <c r="AS9" s="134">
        <f t="shared" ref="AS9:AS18" si="41">AO9*(1-AR9)</f>
        <v>0</v>
      </c>
      <c r="AT9" s="134">
        <f t="shared" ref="AT9:AT18" si="42">IF(AR9=1,$B9,0)</f>
        <v>78454</v>
      </c>
      <c r="AU9" s="134">
        <f t="shared" si="6"/>
        <v>0</v>
      </c>
      <c r="AV9" s="134">
        <f t="shared" ref="AV9:AV18" si="43">SUM(AS9:AU9)</f>
        <v>78454</v>
      </c>
      <c r="AW9" s="135">
        <f t="shared" ref="AW9:AW18" si="44">+AV9-$B9</f>
        <v>0</v>
      </c>
      <c r="AX9" s="135">
        <f t="shared" ref="AX9:AX18" si="45">+AV9-AO9</f>
        <v>0</v>
      </c>
      <c r="AY9" s="138">
        <f t="shared" ref="AY9:AY18" si="46">IF(AX9=0,(ROUND(B9-(ROUND((AV9/AV$19)*(B$19-$C$24),0)),0)),"NO")</f>
        <v>73319</v>
      </c>
      <c r="AZ9" s="139">
        <f t="shared" ref="AZ9:AZ18" si="47">AY9-B9</f>
        <v>-5135</v>
      </c>
      <c r="BA9" s="135">
        <f t="shared" ref="BA9:BA18" si="48">+H9-AZ9</f>
        <v>389</v>
      </c>
      <c r="BB9" s="140"/>
      <c r="BC9" s="141" t="e">
        <f>+G9-#REF!</f>
        <v>#REF!</v>
      </c>
      <c r="BD9" s="141">
        <v>16520</v>
      </c>
      <c r="BE9" s="141">
        <v>63043</v>
      </c>
    </row>
    <row r="10" spans="1:57" ht="18.75" customHeight="1">
      <c r="A10" s="128">
        <v>3</v>
      </c>
      <c r="B10" s="129">
        <v>247257</v>
      </c>
      <c r="C10" s="292">
        <f>VLOOKUP(A10,[3]Pivot!$A$4:$C$15,2,0)</f>
        <v>152180</v>
      </c>
      <c r="D10" s="293">
        <f>VLOOKUP(A10,[3]Pivot!$A$4:$C$15,3,0)</f>
        <v>43886.529411486285</v>
      </c>
      <c r="E10" s="130">
        <f>ROUND((0.5*(C10/C$19) + 0.5*(D10/D$19))*$C$24,0)</f>
        <v>198405</v>
      </c>
      <c r="F10" s="131">
        <f t="shared" si="8"/>
        <v>247257</v>
      </c>
      <c r="G10" s="297">
        <f t="shared" si="9"/>
        <v>232300</v>
      </c>
      <c r="H10" s="132">
        <f t="shared" si="10"/>
        <v>-14957</v>
      </c>
      <c r="I10" s="133">
        <f t="shared" si="11"/>
        <v>1</v>
      </c>
      <c r="J10" s="134">
        <f t="shared" si="0"/>
        <v>0</v>
      </c>
      <c r="K10" s="134">
        <f t="shared" si="12"/>
        <v>247257</v>
      </c>
      <c r="L10" s="134">
        <f t="shared" si="1"/>
        <v>0</v>
      </c>
      <c r="M10" s="134">
        <f t="shared" si="13"/>
        <v>247257</v>
      </c>
      <c r="N10" s="135">
        <f t="shared" si="14"/>
        <v>0</v>
      </c>
      <c r="O10" s="136">
        <f t="shared" si="15"/>
        <v>0</v>
      </c>
      <c r="P10" s="137">
        <f t="shared" si="16"/>
        <v>1</v>
      </c>
      <c r="Q10" s="134">
        <f t="shared" si="17"/>
        <v>0</v>
      </c>
      <c r="R10" s="134">
        <f t="shared" si="18"/>
        <v>247257</v>
      </c>
      <c r="S10" s="134">
        <f t="shared" si="2"/>
        <v>0</v>
      </c>
      <c r="T10" s="134">
        <f t="shared" si="19"/>
        <v>247257</v>
      </c>
      <c r="U10" s="135">
        <f t="shared" si="20"/>
        <v>0</v>
      </c>
      <c r="V10" s="136">
        <f t="shared" si="21"/>
        <v>0</v>
      </c>
      <c r="W10" s="137">
        <f t="shared" si="22"/>
        <v>1</v>
      </c>
      <c r="X10" s="134">
        <f t="shared" si="23"/>
        <v>0</v>
      </c>
      <c r="Y10" s="134">
        <f t="shared" si="24"/>
        <v>247257</v>
      </c>
      <c r="Z10" s="134">
        <f t="shared" si="3"/>
        <v>0</v>
      </c>
      <c r="AA10" s="134">
        <f t="shared" si="25"/>
        <v>247257</v>
      </c>
      <c r="AB10" s="135">
        <f t="shared" si="26"/>
        <v>0</v>
      </c>
      <c r="AC10" s="136">
        <f t="shared" si="27"/>
        <v>0</v>
      </c>
      <c r="AD10" s="137">
        <f t="shared" si="28"/>
        <v>1</v>
      </c>
      <c r="AE10" s="134">
        <f t="shared" si="29"/>
        <v>0</v>
      </c>
      <c r="AF10" s="134">
        <f t="shared" si="30"/>
        <v>247257</v>
      </c>
      <c r="AG10" s="134">
        <f t="shared" si="4"/>
        <v>0</v>
      </c>
      <c r="AH10" s="134">
        <f t="shared" si="31"/>
        <v>247257</v>
      </c>
      <c r="AI10" s="135">
        <f t="shared" si="32"/>
        <v>0</v>
      </c>
      <c r="AJ10" s="136">
        <f t="shared" si="33"/>
        <v>0</v>
      </c>
      <c r="AK10" s="137">
        <f t="shared" si="34"/>
        <v>1</v>
      </c>
      <c r="AL10" s="134">
        <f t="shared" si="35"/>
        <v>0</v>
      </c>
      <c r="AM10" s="134">
        <f t="shared" si="36"/>
        <v>247257</v>
      </c>
      <c r="AN10" s="134">
        <f t="shared" si="5"/>
        <v>0</v>
      </c>
      <c r="AO10" s="134">
        <f t="shared" si="37"/>
        <v>247257</v>
      </c>
      <c r="AP10" s="135">
        <f t="shared" si="38"/>
        <v>0</v>
      </c>
      <c r="AQ10" s="136">
        <f t="shared" si="39"/>
        <v>0</v>
      </c>
      <c r="AR10" s="137">
        <f t="shared" si="40"/>
        <v>1</v>
      </c>
      <c r="AS10" s="134">
        <f t="shared" si="41"/>
        <v>0</v>
      </c>
      <c r="AT10" s="134">
        <f t="shared" si="42"/>
        <v>247257</v>
      </c>
      <c r="AU10" s="134">
        <f t="shared" si="6"/>
        <v>0</v>
      </c>
      <c r="AV10" s="134">
        <f t="shared" si="43"/>
        <v>247257</v>
      </c>
      <c r="AW10" s="135">
        <f t="shared" si="44"/>
        <v>0</v>
      </c>
      <c r="AX10" s="135">
        <f t="shared" si="45"/>
        <v>0</v>
      </c>
      <c r="AY10" s="138">
        <f t="shared" si="46"/>
        <v>231074</v>
      </c>
      <c r="AZ10" s="139">
        <f t="shared" si="47"/>
        <v>-16183</v>
      </c>
      <c r="BA10" s="135">
        <f t="shared" si="48"/>
        <v>1226</v>
      </c>
      <c r="BB10" s="140"/>
      <c r="BC10" s="141" t="e">
        <f>+G10-#REF!</f>
        <v>#REF!</v>
      </c>
      <c r="BD10" s="141">
        <v>52063</v>
      </c>
      <c r="BE10" s="141">
        <v>198688</v>
      </c>
    </row>
    <row r="11" spans="1:57" ht="18.75" customHeight="1">
      <c r="A11" s="128">
        <v>4</v>
      </c>
      <c r="B11" s="129">
        <v>121021</v>
      </c>
      <c r="C11" s="292">
        <f>VLOOKUP(A11,[3]Pivot!$A$4:$C$15,2,0)</f>
        <v>75651</v>
      </c>
      <c r="D11" s="293">
        <f>VLOOKUP(A11,[3]Pivot!$A$4:$C$15,3,0)</f>
        <v>36632.577378396309</v>
      </c>
      <c r="E11" s="130">
        <f t="shared" si="7"/>
        <v>121994</v>
      </c>
      <c r="F11" s="131">
        <f t="shared" si="8"/>
        <v>121994</v>
      </c>
      <c r="G11" s="297">
        <f t="shared" si="9"/>
        <v>113641</v>
      </c>
      <c r="H11" s="132">
        <f t="shared" si="10"/>
        <v>-7380</v>
      </c>
      <c r="I11" s="133">
        <f t="shared" si="11"/>
        <v>0</v>
      </c>
      <c r="J11" s="134">
        <f t="shared" si="0"/>
        <v>121994</v>
      </c>
      <c r="K11" s="134">
        <f t="shared" si="12"/>
        <v>0</v>
      </c>
      <c r="L11" s="134">
        <f t="shared" si="1"/>
        <v>-34341</v>
      </c>
      <c r="M11" s="134">
        <f t="shared" si="13"/>
        <v>87653</v>
      </c>
      <c r="N11" s="135">
        <f t="shared" si="14"/>
        <v>-33368</v>
      </c>
      <c r="O11" s="136">
        <f t="shared" si="15"/>
        <v>1</v>
      </c>
      <c r="P11" s="137">
        <f t="shared" si="16"/>
        <v>1</v>
      </c>
      <c r="Q11" s="134">
        <f t="shared" si="17"/>
        <v>0</v>
      </c>
      <c r="R11" s="134">
        <f t="shared" si="18"/>
        <v>121021</v>
      </c>
      <c r="S11" s="134">
        <f t="shared" si="2"/>
        <v>0</v>
      </c>
      <c r="T11" s="134">
        <f t="shared" si="19"/>
        <v>121021</v>
      </c>
      <c r="U11" s="135">
        <f t="shared" si="20"/>
        <v>0</v>
      </c>
      <c r="V11" s="136">
        <f t="shared" si="21"/>
        <v>0</v>
      </c>
      <c r="W11" s="137">
        <f t="shared" si="22"/>
        <v>1</v>
      </c>
      <c r="X11" s="134">
        <f t="shared" si="23"/>
        <v>0</v>
      </c>
      <c r="Y11" s="134">
        <f t="shared" si="24"/>
        <v>121021</v>
      </c>
      <c r="Z11" s="134">
        <f t="shared" si="3"/>
        <v>0</v>
      </c>
      <c r="AA11" s="134">
        <f t="shared" si="25"/>
        <v>121021</v>
      </c>
      <c r="AB11" s="135">
        <f t="shared" si="26"/>
        <v>0</v>
      </c>
      <c r="AC11" s="136">
        <f t="shared" si="27"/>
        <v>0</v>
      </c>
      <c r="AD11" s="137">
        <f t="shared" si="28"/>
        <v>1</v>
      </c>
      <c r="AE11" s="134">
        <f t="shared" si="29"/>
        <v>0</v>
      </c>
      <c r="AF11" s="134">
        <f t="shared" si="30"/>
        <v>121021</v>
      </c>
      <c r="AG11" s="134">
        <f t="shared" si="4"/>
        <v>0</v>
      </c>
      <c r="AH11" s="134">
        <f t="shared" si="31"/>
        <v>121021</v>
      </c>
      <c r="AI11" s="135">
        <f t="shared" si="32"/>
        <v>0</v>
      </c>
      <c r="AJ11" s="136">
        <f t="shared" si="33"/>
        <v>0</v>
      </c>
      <c r="AK11" s="137">
        <f t="shared" si="34"/>
        <v>1</v>
      </c>
      <c r="AL11" s="134">
        <f t="shared" si="35"/>
        <v>0</v>
      </c>
      <c r="AM11" s="134">
        <f t="shared" si="36"/>
        <v>121021</v>
      </c>
      <c r="AN11" s="134">
        <f t="shared" si="5"/>
        <v>0</v>
      </c>
      <c r="AO11" s="134">
        <f t="shared" si="37"/>
        <v>121021</v>
      </c>
      <c r="AP11" s="135">
        <f t="shared" si="38"/>
        <v>0</v>
      </c>
      <c r="AQ11" s="136">
        <f t="shared" si="39"/>
        <v>0</v>
      </c>
      <c r="AR11" s="137">
        <f t="shared" si="40"/>
        <v>1</v>
      </c>
      <c r="AS11" s="134">
        <f t="shared" si="41"/>
        <v>0</v>
      </c>
      <c r="AT11" s="134">
        <f t="shared" si="42"/>
        <v>121021</v>
      </c>
      <c r="AU11" s="134">
        <f t="shared" si="6"/>
        <v>0</v>
      </c>
      <c r="AV11" s="134">
        <f t="shared" si="43"/>
        <v>121021</v>
      </c>
      <c r="AW11" s="135">
        <f t="shared" si="44"/>
        <v>0</v>
      </c>
      <c r="AX11" s="135">
        <f t="shared" si="45"/>
        <v>0</v>
      </c>
      <c r="AY11" s="138">
        <f t="shared" si="46"/>
        <v>113100</v>
      </c>
      <c r="AZ11" s="139">
        <f t="shared" si="47"/>
        <v>-7921</v>
      </c>
      <c r="BA11" s="135">
        <f t="shared" si="48"/>
        <v>541</v>
      </c>
      <c r="BB11" s="140"/>
      <c r="BC11" s="141" t="e">
        <f>+G11-#REF!</f>
        <v>#REF!</v>
      </c>
      <c r="BD11" s="141">
        <v>25518</v>
      </c>
      <c r="BE11" s="141">
        <v>97385</v>
      </c>
    </row>
    <row r="12" spans="1:57" ht="18.75" customHeight="1">
      <c r="A12" s="128">
        <v>5</v>
      </c>
      <c r="B12" s="129">
        <v>138736</v>
      </c>
      <c r="C12" s="292">
        <f>VLOOKUP(A12,[3]Pivot!$A$4:$C$15,2,0)</f>
        <v>52034</v>
      </c>
      <c r="D12" s="293">
        <f>VLOOKUP(A12,[3]Pivot!$A$4:$C$15,3,0)</f>
        <v>35654.507464791415</v>
      </c>
      <c r="E12" s="130">
        <f t="shared" si="7"/>
        <v>100401</v>
      </c>
      <c r="F12" s="131">
        <f t="shared" si="8"/>
        <v>138736</v>
      </c>
      <c r="G12" s="297">
        <f t="shared" si="9"/>
        <v>130344</v>
      </c>
      <c r="H12" s="132">
        <f t="shared" si="10"/>
        <v>-8392</v>
      </c>
      <c r="I12" s="133">
        <f t="shared" si="11"/>
        <v>1</v>
      </c>
      <c r="J12" s="134">
        <f t="shared" si="0"/>
        <v>0</v>
      </c>
      <c r="K12" s="134">
        <f t="shared" si="12"/>
        <v>138736</v>
      </c>
      <c r="L12" s="134">
        <f t="shared" si="1"/>
        <v>0</v>
      </c>
      <c r="M12" s="134">
        <f t="shared" si="13"/>
        <v>138736</v>
      </c>
      <c r="N12" s="135">
        <f t="shared" si="14"/>
        <v>0</v>
      </c>
      <c r="O12" s="136">
        <f t="shared" si="15"/>
        <v>0</v>
      </c>
      <c r="P12" s="137">
        <f t="shared" si="16"/>
        <v>1</v>
      </c>
      <c r="Q12" s="134">
        <f t="shared" si="17"/>
        <v>0</v>
      </c>
      <c r="R12" s="134">
        <f t="shared" si="18"/>
        <v>138736</v>
      </c>
      <c r="S12" s="134">
        <f t="shared" si="2"/>
        <v>0</v>
      </c>
      <c r="T12" s="134">
        <f t="shared" si="19"/>
        <v>138736</v>
      </c>
      <c r="U12" s="135">
        <f t="shared" si="20"/>
        <v>0</v>
      </c>
      <c r="V12" s="136">
        <f t="shared" si="21"/>
        <v>0</v>
      </c>
      <c r="W12" s="137">
        <f t="shared" si="22"/>
        <v>1</v>
      </c>
      <c r="X12" s="134">
        <f t="shared" si="23"/>
        <v>0</v>
      </c>
      <c r="Y12" s="134">
        <f t="shared" si="24"/>
        <v>138736</v>
      </c>
      <c r="Z12" s="134">
        <f t="shared" si="3"/>
        <v>0</v>
      </c>
      <c r="AA12" s="134">
        <f t="shared" si="25"/>
        <v>138736</v>
      </c>
      <c r="AB12" s="135">
        <f t="shared" si="26"/>
        <v>0</v>
      </c>
      <c r="AC12" s="136">
        <f t="shared" si="27"/>
        <v>0</v>
      </c>
      <c r="AD12" s="137">
        <f t="shared" si="28"/>
        <v>1</v>
      </c>
      <c r="AE12" s="134">
        <f t="shared" si="29"/>
        <v>0</v>
      </c>
      <c r="AF12" s="134">
        <f t="shared" si="30"/>
        <v>138736</v>
      </c>
      <c r="AG12" s="134">
        <f t="shared" si="4"/>
        <v>0</v>
      </c>
      <c r="AH12" s="134">
        <f t="shared" si="31"/>
        <v>138736</v>
      </c>
      <c r="AI12" s="135">
        <f t="shared" si="32"/>
        <v>0</v>
      </c>
      <c r="AJ12" s="136">
        <f t="shared" si="33"/>
        <v>0</v>
      </c>
      <c r="AK12" s="137">
        <f t="shared" si="34"/>
        <v>1</v>
      </c>
      <c r="AL12" s="134">
        <f t="shared" si="35"/>
        <v>0</v>
      </c>
      <c r="AM12" s="134">
        <f t="shared" si="36"/>
        <v>138736</v>
      </c>
      <c r="AN12" s="134">
        <f t="shared" si="5"/>
        <v>0</v>
      </c>
      <c r="AO12" s="134">
        <f t="shared" si="37"/>
        <v>138736</v>
      </c>
      <c r="AP12" s="135">
        <f t="shared" si="38"/>
        <v>0</v>
      </c>
      <c r="AQ12" s="136">
        <f t="shared" si="39"/>
        <v>0</v>
      </c>
      <c r="AR12" s="137">
        <f t="shared" si="40"/>
        <v>1</v>
      </c>
      <c r="AS12" s="134">
        <f t="shared" si="41"/>
        <v>0</v>
      </c>
      <c r="AT12" s="134">
        <f t="shared" si="42"/>
        <v>138736</v>
      </c>
      <c r="AU12" s="134">
        <f t="shared" si="6"/>
        <v>0</v>
      </c>
      <c r="AV12" s="134">
        <f t="shared" si="43"/>
        <v>138736</v>
      </c>
      <c r="AW12" s="135">
        <f t="shared" si="44"/>
        <v>0</v>
      </c>
      <c r="AX12" s="135">
        <f t="shared" si="45"/>
        <v>0</v>
      </c>
      <c r="AY12" s="138">
        <f t="shared" si="46"/>
        <v>129656</v>
      </c>
      <c r="AZ12" s="139">
        <f t="shared" si="47"/>
        <v>-9080</v>
      </c>
      <c r="BA12" s="135">
        <f t="shared" si="48"/>
        <v>688</v>
      </c>
      <c r="BB12" s="140"/>
      <c r="BC12" s="141" t="e">
        <f>+G12-#REF!</f>
        <v>#REF!</v>
      </c>
      <c r="BD12" s="141">
        <v>29213</v>
      </c>
      <c r="BE12" s="141">
        <v>111484</v>
      </c>
    </row>
    <row r="13" spans="1:57" ht="18.75" customHeight="1">
      <c r="A13" s="128">
        <v>6</v>
      </c>
      <c r="B13" s="129">
        <v>133409</v>
      </c>
      <c r="C13" s="292">
        <f>VLOOKUP(A13,[3]Pivot!$A$4:$C$15,2,0)</f>
        <v>98618</v>
      </c>
      <c r="D13" s="293">
        <f>VLOOKUP(A13,[3]Pivot!$A$4:$C$15,3,0)</f>
        <v>47062.718467119645</v>
      </c>
      <c r="E13" s="130">
        <f t="shared" si="7"/>
        <v>157940</v>
      </c>
      <c r="F13" s="131">
        <f t="shared" si="8"/>
        <v>157940</v>
      </c>
      <c r="G13" s="297">
        <f>ROUND((+B13-(F13/$F$19)*($B$19-$C$24)),0)</f>
        <v>123855</v>
      </c>
      <c r="H13" s="132">
        <f t="shared" si="10"/>
        <v>-9554</v>
      </c>
      <c r="I13" s="133">
        <f t="shared" si="11"/>
        <v>0</v>
      </c>
      <c r="J13" s="134">
        <f t="shared" si="0"/>
        <v>157940</v>
      </c>
      <c r="K13" s="134">
        <f t="shared" si="12"/>
        <v>0</v>
      </c>
      <c r="L13" s="134">
        <f t="shared" si="1"/>
        <v>-44460</v>
      </c>
      <c r="M13" s="134">
        <f t="shared" si="13"/>
        <v>113480</v>
      </c>
      <c r="N13" s="135">
        <f t="shared" si="14"/>
        <v>-19929</v>
      </c>
      <c r="O13" s="136">
        <f t="shared" si="15"/>
        <v>1</v>
      </c>
      <c r="P13" s="137">
        <f t="shared" si="16"/>
        <v>1</v>
      </c>
      <c r="Q13" s="134">
        <f t="shared" si="17"/>
        <v>0</v>
      </c>
      <c r="R13" s="134">
        <f t="shared" si="18"/>
        <v>133409</v>
      </c>
      <c r="S13" s="134">
        <f t="shared" si="2"/>
        <v>0</v>
      </c>
      <c r="T13" s="134">
        <f t="shared" si="19"/>
        <v>133409</v>
      </c>
      <c r="U13" s="135">
        <f t="shared" si="20"/>
        <v>0</v>
      </c>
      <c r="V13" s="136">
        <f t="shared" si="21"/>
        <v>0</v>
      </c>
      <c r="W13" s="137">
        <f t="shared" si="22"/>
        <v>1</v>
      </c>
      <c r="X13" s="134">
        <f t="shared" si="23"/>
        <v>0</v>
      </c>
      <c r="Y13" s="134">
        <f t="shared" si="24"/>
        <v>133409</v>
      </c>
      <c r="Z13" s="134">
        <f t="shared" si="3"/>
        <v>0</v>
      </c>
      <c r="AA13" s="134">
        <f t="shared" si="25"/>
        <v>133409</v>
      </c>
      <c r="AB13" s="135">
        <f t="shared" si="26"/>
        <v>0</v>
      </c>
      <c r="AC13" s="136">
        <f t="shared" si="27"/>
        <v>0</v>
      </c>
      <c r="AD13" s="137">
        <f t="shared" si="28"/>
        <v>1</v>
      </c>
      <c r="AE13" s="134">
        <f t="shared" si="29"/>
        <v>0</v>
      </c>
      <c r="AF13" s="134">
        <f t="shared" si="30"/>
        <v>133409</v>
      </c>
      <c r="AG13" s="134">
        <f t="shared" si="4"/>
        <v>0</v>
      </c>
      <c r="AH13" s="134">
        <f t="shared" si="31"/>
        <v>133409</v>
      </c>
      <c r="AI13" s="135">
        <f t="shared" si="32"/>
        <v>0</v>
      </c>
      <c r="AJ13" s="136">
        <f t="shared" si="33"/>
        <v>0</v>
      </c>
      <c r="AK13" s="137">
        <f t="shared" si="34"/>
        <v>1</v>
      </c>
      <c r="AL13" s="134">
        <f t="shared" si="35"/>
        <v>0</v>
      </c>
      <c r="AM13" s="134">
        <f t="shared" si="36"/>
        <v>133409</v>
      </c>
      <c r="AN13" s="134">
        <f t="shared" si="5"/>
        <v>0</v>
      </c>
      <c r="AO13" s="134">
        <f t="shared" si="37"/>
        <v>133409</v>
      </c>
      <c r="AP13" s="135">
        <f t="shared" si="38"/>
        <v>0</v>
      </c>
      <c r="AQ13" s="136">
        <f t="shared" si="39"/>
        <v>0</v>
      </c>
      <c r="AR13" s="137">
        <f t="shared" si="40"/>
        <v>1</v>
      </c>
      <c r="AS13" s="134">
        <f t="shared" si="41"/>
        <v>0</v>
      </c>
      <c r="AT13" s="134">
        <f t="shared" si="42"/>
        <v>133409</v>
      </c>
      <c r="AU13" s="134">
        <f t="shared" si="6"/>
        <v>0</v>
      </c>
      <c r="AV13" s="134">
        <f t="shared" si="43"/>
        <v>133409</v>
      </c>
      <c r="AW13" s="135">
        <f t="shared" si="44"/>
        <v>0</v>
      </c>
      <c r="AX13" s="135">
        <f t="shared" si="45"/>
        <v>0</v>
      </c>
      <c r="AY13" s="138">
        <f t="shared" si="46"/>
        <v>124677</v>
      </c>
      <c r="AZ13" s="139">
        <f t="shared" si="47"/>
        <v>-8732</v>
      </c>
      <c r="BA13" s="135">
        <f t="shared" si="48"/>
        <v>-822</v>
      </c>
      <c r="BB13" s="140"/>
      <c r="BC13" s="141" t="e">
        <f>+G13-#REF!</f>
        <v>#REF!</v>
      </c>
      <c r="BD13" s="141">
        <v>28206</v>
      </c>
      <c r="BE13" s="141">
        <v>107640</v>
      </c>
    </row>
    <row r="14" spans="1:57" ht="18.75" customHeight="1">
      <c r="A14" s="128">
        <v>7</v>
      </c>
      <c r="B14" s="129">
        <v>184131</v>
      </c>
      <c r="C14" s="292">
        <f>VLOOKUP(A14,[3]Pivot!$A$4:$C$15,2,0)</f>
        <v>84908</v>
      </c>
      <c r="D14" s="293">
        <f>VLOOKUP(A14,[3]Pivot!$A$4:$C$15,3,0)</f>
        <v>38378.807809259844</v>
      </c>
      <c r="E14" s="130">
        <f t="shared" si="7"/>
        <v>132607</v>
      </c>
      <c r="F14" s="131">
        <f t="shared" si="8"/>
        <v>184131</v>
      </c>
      <c r="G14" s="297">
        <f t="shared" si="9"/>
        <v>172992</v>
      </c>
      <c r="H14" s="132">
        <f t="shared" si="10"/>
        <v>-11139</v>
      </c>
      <c r="I14" s="133">
        <f t="shared" si="11"/>
        <v>1</v>
      </c>
      <c r="J14" s="134">
        <f t="shared" si="0"/>
        <v>0</v>
      </c>
      <c r="K14" s="134">
        <f t="shared" si="12"/>
        <v>184131</v>
      </c>
      <c r="L14" s="134">
        <f t="shared" si="1"/>
        <v>0</v>
      </c>
      <c r="M14" s="134">
        <f t="shared" si="13"/>
        <v>184131</v>
      </c>
      <c r="N14" s="135">
        <f t="shared" si="14"/>
        <v>0</v>
      </c>
      <c r="O14" s="136">
        <f t="shared" si="15"/>
        <v>0</v>
      </c>
      <c r="P14" s="137">
        <f t="shared" si="16"/>
        <v>1</v>
      </c>
      <c r="Q14" s="134">
        <f t="shared" si="17"/>
        <v>0</v>
      </c>
      <c r="R14" s="134">
        <f t="shared" si="18"/>
        <v>184131</v>
      </c>
      <c r="S14" s="134">
        <f t="shared" si="2"/>
        <v>0</v>
      </c>
      <c r="T14" s="134">
        <f t="shared" si="19"/>
        <v>184131</v>
      </c>
      <c r="U14" s="135">
        <f t="shared" si="20"/>
        <v>0</v>
      </c>
      <c r="V14" s="136">
        <f t="shared" si="21"/>
        <v>0</v>
      </c>
      <c r="W14" s="137">
        <f t="shared" si="22"/>
        <v>1</v>
      </c>
      <c r="X14" s="134">
        <f t="shared" si="23"/>
        <v>0</v>
      </c>
      <c r="Y14" s="134">
        <f t="shared" si="24"/>
        <v>184131</v>
      </c>
      <c r="Z14" s="134">
        <f t="shared" si="3"/>
        <v>0</v>
      </c>
      <c r="AA14" s="134">
        <f t="shared" si="25"/>
        <v>184131</v>
      </c>
      <c r="AB14" s="135">
        <f t="shared" si="26"/>
        <v>0</v>
      </c>
      <c r="AC14" s="136">
        <f t="shared" si="27"/>
        <v>0</v>
      </c>
      <c r="AD14" s="137">
        <f t="shared" si="28"/>
        <v>1</v>
      </c>
      <c r="AE14" s="134">
        <f t="shared" si="29"/>
        <v>0</v>
      </c>
      <c r="AF14" s="134">
        <f t="shared" si="30"/>
        <v>184131</v>
      </c>
      <c r="AG14" s="134">
        <f t="shared" si="4"/>
        <v>0</v>
      </c>
      <c r="AH14" s="134">
        <f t="shared" si="31"/>
        <v>184131</v>
      </c>
      <c r="AI14" s="135">
        <f t="shared" si="32"/>
        <v>0</v>
      </c>
      <c r="AJ14" s="136">
        <f t="shared" si="33"/>
        <v>0</v>
      </c>
      <c r="AK14" s="137">
        <f t="shared" si="34"/>
        <v>1</v>
      </c>
      <c r="AL14" s="134">
        <f t="shared" si="35"/>
        <v>0</v>
      </c>
      <c r="AM14" s="134">
        <f t="shared" si="36"/>
        <v>184131</v>
      </c>
      <c r="AN14" s="134">
        <f t="shared" si="5"/>
        <v>0</v>
      </c>
      <c r="AO14" s="134">
        <f t="shared" si="37"/>
        <v>184131</v>
      </c>
      <c r="AP14" s="135">
        <f t="shared" si="38"/>
        <v>0</v>
      </c>
      <c r="AQ14" s="136">
        <f t="shared" si="39"/>
        <v>0</v>
      </c>
      <c r="AR14" s="137">
        <f t="shared" si="40"/>
        <v>1</v>
      </c>
      <c r="AS14" s="134">
        <f t="shared" si="41"/>
        <v>0</v>
      </c>
      <c r="AT14" s="134">
        <f t="shared" si="42"/>
        <v>184131</v>
      </c>
      <c r="AU14" s="134">
        <f t="shared" si="6"/>
        <v>0</v>
      </c>
      <c r="AV14" s="134">
        <f t="shared" si="43"/>
        <v>184131</v>
      </c>
      <c r="AW14" s="135">
        <f t="shared" si="44"/>
        <v>0</v>
      </c>
      <c r="AX14" s="135">
        <f t="shared" si="45"/>
        <v>0</v>
      </c>
      <c r="AY14" s="138">
        <f t="shared" si="46"/>
        <v>172079</v>
      </c>
      <c r="AZ14" s="139">
        <f t="shared" si="47"/>
        <v>-12052</v>
      </c>
      <c r="BA14" s="135">
        <f t="shared" si="48"/>
        <v>913</v>
      </c>
      <c r="BB14" s="140"/>
      <c r="BC14" s="141" t="e">
        <f>+G14-#REF!</f>
        <v>#REF!</v>
      </c>
      <c r="BD14" s="141">
        <v>38771</v>
      </c>
      <c r="BE14" s="141">
        <v>147962</v>
      </c>
    </row>
    <row r="15" spans="1:57" ht="18.75" customHeight="1">
      <c r="A15" s="128">
        <v>8</v>
      </c>
      <c r="B15" s="129">
        <v>87844</v>
      </c>
      <c r="C15" s="292">
        <f>VLOOKUP(A15,[3]Pivot!$A$4:$C$15,2,0)</f>
        <v>91660</v>
      </c>
      <c r="D15" s="293">
        <f>VLOOKUP(A15,[3]Pivot!$A$4:$C$15,3,0)</f>
        <v>37731.422729363127</v>
      </c>
      <c r="E15" s="130">
        <f t="shared" si="7"/>
        <v>137318</v>
      </c>
      <c r="F15" s="131">
        <f t="shared" si="8"/>
        <v>137318</v>
      </c>
      <c r="G15" s="297">
        <f t="shared" si="9"/>
        <v>79537</v>
      </c>
      <c r="H15" s="132">
        <f t="shared" si="10"/>
        <v>-8307</v>
      </c>
      <c r="I15" s="133">
        <f t="shared" si="11"/>
        <v>0</v>
      </c>
      <c r="J15" s="134">
        <f t="shared" si="0"/>
        <v>137318</v>
      </c>
      <c r="K15" s="134">
        <f t="shared" si="12"/>
        <v>0</v>
      </c>
      <c r="L15" s="134">
        <f t="shared" si="1"/>
        <v>-38655</v>
      </c>
      <c r="M15" s="134">
        <f t="shared" si="13"/>
        <v>98663</v>
      </c>
      <c r="N15" s="135">
        <f t="shared" si="14"/>
        <v>10819</v>
      </c>
      <c r="O15" s="136">
        <f t="shared" si="15"/>
        <v>0</v>
      </c>
      <c r="P15" s="137">
        <f t="shared" si="16"/>
        <v>0</v>
      </c>
      <c r="Q15" s="134">
        <f t="shared" si="17"/>
        <v>98663</v>
      </c>
      <c r="R15" s="134">
        <f t="shared" si="18"/>
        <v>0</v>
      </c>
      <c r="S15" s="134">
        <f t="shared" si="2"/>
        <v>-110772</v>
      </c>
      <c r="T15" s="134">
        <f t="shared" si="19"/>
        <v>-12109</v>
      </c>
      <c r="U15" s="135">
        <f t="shared" si="20"/>
        <v>-99953</v>
      </c>
      <c r="V15" s="136">
        <f t="shared" si="21"/>
        <v>1</v>
      </c>
      <c r="W15" s="137">
        <f t="shared" si="22"/>
        <v>1</v>
      </c>
      <c r="X15" s="134">
        <f t="shared" si="23"/>
        <v>0</v>
      </c>
      <c r="Y15" s="134">
        <f t="shared" si="24"/>
        <v>87844</v>
      </c>
      <c r="Z15" s="134">
        <f t="shared" si="3"/>
        <v>0</v>
      </c>
      <c r="AA15" s="134">
        <f t="shared" si="25"/>
        <v>87844</v>
      </c>
      <c r="AB15" s="135">
        <f t="shared" si="26"/>
        <v>0</v>
      </c>
      <c r="AC15" s="136">
        <f t="shared" si="27"/>
        <v>0</v>
      </c>
      <c r="AD15" s="137">
        <f t="shared" si="28"/>
        <v>1</v>
      </c>
      <c r="AE15" s="134">
        <f t="shared" si="29"/>
        <v>0</v>
      </c>
      <c r="AF15" s="134">
        <f t="shared" si="30"/>
        <v>87844</v>
      </c>
      <c r="AG15" s="134">
        <f t="shared" si="4"/>
        <v>0</v>
      </c>
      <c r="AH15" s="134">
        <f t="shared" si="31"/>
        <v>87844</v>
      </c>
      <c r="AI15" s="135">
        <f t="shared" si="32"/>
        <v>0</v>
      </c>
      <c r="AJ15" s="136">
        <f t="shared" si="33"/>
        <v>0</v>
      </c>
      <c r="AK15" s="137">
        <f t="shared" si="34"/>
        <v>1</v>
      </c>
      <c r="AL15" s="134">
        <f t="shared" si="35"/>
        <v>0</v>
      </c>
      <c r="AM15" s="134">
        <f t="shared" si="36"/>
        <v>87844</v>
      </c>
      <c r="AN15" s="134">
        <f t="shared" si="5"/>
        <v>0</v>
      </c>
      <c r="AO15" s="134">
        <f t="shared" si="37"/>
        <v>87844</v>
      </c>
      <c r="AP15" s="135">
        <f t="shared" si="38"/>
        <v>0</v>
      </c>
      <c r="AQ15" s="136">
        <f t="shared" si="39"/>
        <v>0</v>
      </c>
      <c r="AR15" s="137">
        <f t="shared" si="40"/>
        <v>1</v>
      </c>
      <c r="AS15" s="134">
        <f t="shared" si="41"/>
        <v>0</v>
      </c>
      <c r="AT15" s="134">
        <f t="shared" si="42"/>
        <v>87844</v>
      </c>
      <c r="AU15" s="134">
        <f t="shared" si="6"/>
        <v>0</v>
      </c>
      <c r="AV15" s="134">
        <f t="shared" si="43"/>
        <v>87844</v>
      </c>
      <c r="AW15" s="135">
        <f t="shared" si="44"/>
        <v>0</v>
      </c>
      <c r="AX15" s="135">
        <f t="shared" si="45"/>
        <v>0</v>
      </c>
      <c r="AY15" s="138">
        <f t="shared" si="46"/>
        <v>82095</v>
      </c>
      <c r="AZ15" s="139">
        <f t="shared" si="47"/>
        <v>-5749</v>
      </c>
      <c r="BA15" s="135">
        <f t="shared" si="48"/>
        <v>-2558</v>
      </c>
      <c r="BB15" s="140"/>
      <c r="BC15" s="141" t="e">
        <f>+G15-#REF!</f>
        <v>#REF!</v>
      </c>
      <c r="BD15" s="141">
        <v>18679</v>
      </c>
      <c r="BE15" s="141">
        <v>71283</v>
      </c>
    </row>
    <row r="16" spans="1:57" ht="18.75" customHeight="1">
      <c r="A16" s="128">
        <v>9</v>
      </c>
      <c r="B16" s="129">
        <v>99604</v>
      </c>
      <c r="C16" s="292">
        <f>VLOOKUP(A16,[3]Pivot!$A$4:$C$15,2,0)</f>
        <v>54673</v>
      </c>
      <c r="D16" s="293">
        <f>VLOOKUP(A16,[3]Pivot!$A$4:$C$15,3,0)</f>
        <v>43688.370289329119</v>
      </c>
      <c r="E16" s="130">
        <f t="shared" si="7"/>
        <v>115310</v>
      </c>
      <c r="F16" s="131">
        <f t="shared" si="8"/>
        <v>115310</v>
      </c>
      <c r="G16" s="297">
        <f t="shared" si="9"/>
        <v>92629</v>
      </c>
      <c r="H16" s="132">
        <f t="shared" si="10"/>
        <v>-6975</v>
      </c>
      <c r="I16" s="133">
        <f t="shared" si="11"/>
        <v>0</v>
      </c>
      <c r="J16" s="134">
        <f t="shared" si="0"/>
        <v>115310</v>
      </c>
      <c r="K16" s="134">
        <f t="shared" si="12"/>
        <v>0</v>
      </c>
      <c r="L16" s="134">
        <f t="shared" si="1"/>
        <v>-32460</v>
      </c>
      <c r="M16" s="134">
        <f t="shared" si="13"/>
        <v>82850</v>
      </c>
      <c r="N16" s="135">
        <f t="shared" si="14"/>
        <v>-16754</v>
      </c>
      <c r="O16" s="136">
        <f t="shared" si="15"/>
        <v>1</v>
      </c>
      <c r="P16" s="137">
        <f t="shared" si="16"/>
        <v>1</v>
      </c>
      <c r="Q16" s="134">
        <f t="shared" si="17"/>
        <v>0</v>
      </c>
      <c r="R16" s="134">
        <f t="shared" si="18"/>
        <v>99604</v>
      </c>
      <c r="S16" s="134">
        <f t="shared" si="2"/>
        <v>0</v>
      </c>
      <c r="T16" s="134">
        <f t="shared" si="19"/>
        <v>99604</v>
      </c>
      <c r="U16" s="135">
        <f t="shared" si="20"/>
        <v>0</v>
      </c>
      <c r="V16" s="136">
        <f t="shared" si="21"/>
        <v>0</v>
      </c>
      <c r="W16" s="137">
        <f t="shared" si="22"/>
        <v>1</v>
      </c>
      <c r="X16" s="134">
        <f t="shared" si="23"/>
        <v>0</v>
      </c>
      <c r="Y16" s="134">
        <f t="shared" si="24"/>
        <v>99604</v>
      </c>
      <c r="Z16" s="134">
        <f t="shared" si="3"/>
        <v>0</v>
      </c>
      <c r="AA16" s="134">
        <f t="shared" si="25"/>
        <v>99604</v>
      </c>
      <c r="AB16" s="135">
        <f t="shared" si="26"/>
        <v>0</v>
      </c>
      <c r="AC16" s="136">
        <f t="shared" si="27"/>
        <v>0</v>
      </c>
      <c r="AD16" s="137">
        <f t="shared" si="28"/>
        <v>1</v>
      </c>
      <c r="AE16" s="134">
        <f t="shared" si="29"/>
        <v>0</v>
      </c>
      <c r="AF16" s="134">
        <f t="shared" si="30"/>
        <v>99604</v>
      </c>
      <c r="AG16" s="134">
        <f t="shared" si="4"/>
        <v>0</v>
      </c>
      <c r="AH16" s="134">
        <f t="shared" si="31"/>
        <v>99604</v>
      </c>
      <c r="AI16" s="135">
        <f t="shared" si="32"/>
        <v>0</v>
      </c>
      <c r="AJ16" s="136">
        <f t="shared" si="33"/>
        <v>0</v>
      </c>
      <c r="AK16" s="137">
        <f t="shared" si="34"/>
        <v>1</v>
      </c>
      <c r="AL16" s="134">
        <f t="shared" si="35"/>
        <v>0</v>
      </c>
      <c r="AM16" s="134">
        <f t="shared" si="36"/>
        <v>99604</v>
      </c>
      <c r="AN16" s="134">
        <f t="shared" si="5"/>
        <v>0</v>
      </c>
      <c r="AO16" s="134">
        <f t="shared" si="37"/>
        <v>99604</v>
      </c>
      <c r="AP16" s="135">
        <f t="shared" si="38"/>
        <v>0</v>
      </c>
      <c r="AQ16" s="136">
        <f t="shared" si="39"/>
        <v>0</v>
      </c>
      <c r="AR16" s="137">
        <f t="shared" si="40"/>
        <v>1</v>
      </c>
      <c r="AS16" s="134">
        <f t="shared" si="41"/>
        <v>0</v>
      </c>
      <c r="AT16" s="134">
        <f t="shared" si="42"/>
        <v>99604</v>
      </c>
      <c r="AU16" s="134">
        <f t="shared" si="6"/>
        <v>0</v>
      </c>
      <c r="AV16" s="134">
        <f t="shared" si="43"/>
        <v>99604</v>
      </c>
      <c r="AW16" s="135">
        <f t="shared" si="44"/>
        <v>0</v>
      </c>
      <c r="AX16" s="135">
        <f t="shared" si="45"/>
        <v>0</v>
      </c>
      <c r="AY16" s="138">
        <f t="shared" si="46"/>
        <v>93085</v>
      </c>
      <c r="AZ16" s="139">
        <f t="shared" si="47"/>
        <v>-6519</v>
      </c>
      <c r="BA16" s="135">
        <f t="shared" si="48"/>
        <v>-456</v>
      </c>
      <c r="BB16" s="140"/>
      <c r="BC16" s="141" t="e">
        <f>+G16-#REF!</f>
        <v>#REF!</v>
      </c>
      <c r="BD16" s="141">
        <v>21050</v>
      </c>
      <c r="BE16" s="141">
        <v>80333</v>
      </c>
    </row>
    <row r="17" spans="1:57" ht="18.75" customHeight="1">
      <c r="A17" s="128">
        <v>10</v>
      </c>
      <c r="B17" s="129">
        <v>114198</v>
      </c>
      <c r="C17" s="292">
        <f>VLOOKUP(A17,[3]Pivot!$A$4:$C$15,2,0)</f>
        <v>28019</v>
      </c>
      <c r="D17" s="293">
        <f>VLOOKUP(A17,[3]Pivot!$A$4:$C$15,3,0)</f>
        <v>41023.816964186604</v>
      </c>
      <c r="E17" s="130">
        <f t="shared" si="7"/>
        <v>88479</v>
      </c>
      <c r="F17" s="131">
        <f t="shared" si="8"/>
        <v>114198</v>
      </c>
      <c r="G17" s="297">
        <f t="shared" si="9"/>
        <v>107290</v>
      </c>
      <c r="H17" s="132">
        <f t="shared" si="10"/>
        <v>-6908</v>
      </c>
      <c r="I17" s="133">
        <f t="shared" si="11"/>
        <v>1</v>
      </c>
      <c r="J17" s="134">
        <f t="shared" si="0"/>
        <v>0</v>
      </c>
      <c r="K17" s="134">
        <f t="shared" si="12"/>
        <v>114198</v>
      </c>
      <c r="L17" s="134">
        <f t="shared" si="1"/>
        <v>0</v>
      </c>
      <c r="M17" s="134">
        <f t="shared" si="13"/>
        <v>114198</v>
      </c>
      <c r="N17" s="135">
        <f t="shared" si="14"/>
        <v>0</v>
      </c>
      <c r="O17" s="136">
        <f t="shared" si="15"/>
        <v>0</v>
      </c>
      <c r="P17" s="137">
        <f t="shared" si="16"/>
        <v>1</v>
      </c>
      <c r="Q17" s="134">
        <f t="shared" si="17"/>
        <v>0</v>
      </c>
      <c r="R17" s="134">
        <f t="shared" si="18"/>
        <v>114198</v>
      </c>
      <c r="S17" s="134">
        <f t="shared" si="2"/>
        <v>0</v>
      </c>
      <c r="T17" s="134">
        <f t="shared" si="19"/>
        <v>114198</v>
      </c>
      <c r="U17" s="135">
        <f t="shared" si="20"/>
        <v>0</v>
      </c>
      <c r="V17" s="136">
        <f t="shared" si="21"/>
        <v>0</v>
      </c>
      <c r="W17" s="137">
        <f t="shared" si="22"/>
        <v>1</v>
      </c>
      <c r="X17" s="134">
        <f t="shared" si="23"/>
        <v>0</v>
      </c>
      <c r="Y17" s="134">
        <f t="shared" si="24"/>
        <v>114198</v>
      </c>
      <c r="Z17" s="134">
        <f t="shared" si="3"/>
        <v>0</v>
      </c>
      <c r="AA17" s="134">
        <f t="shared" si="25"/>
        <v>114198</v>
      </c>
      <c r="AB17" s="135">
        <f t="shared" si="26"/>
        <v>0</v>
      </c>
      <c r="AC17" s="136">
        <f t="shared" si="27"/>
        <v>0</v>
      </c>
      <c r="AD17" s="137">
        <f t="shared" si="28"/>
        <v>1</v>
      </c>
      <c r="AE17" s="134">
        <f t="shared" si="29"/>
        <v>0</v>
      </c>
      <c r="AF17" s="134">
        <f t="shared" si="30"/>
        <v>114198</v>
      </c>
      <c r="AG17" s="134">
        <f t="shared" si="4"/>
        <v>0</v>
      </c>
      <c r="AH17" s="134">
        <f t="shared" si="31"/>
        <v>114198</v>
      </c>
      <c r="AI17" s="135">
        <f t="shared" si="32"/>
        <v>0</v>
      </c>
      <c r="AJ17" s="136">
        <f t="shared" si="33"/>
        <v>0</v>
      </c>
      <c r="AK17" s="137">
        <f t="shared" si="34"/>
        <v>1</v>
      </c>
      <c r="AL17" s="134">
        <f t="shared" si="35"/>
        <v>0</v>
      </c>
      <c r="AM17" s="134">
        <f t="shared" si="36"/>
        <v>114198</v>
      </c>
      <c r="AN17" s="134">
        <f t="shared" si="5"/>
        <v>0</v>
      </c>
      <c r="AO17" s="134">
        <f t="shared" si="37"/>
        <v>114198</v>
      </c>
      <c r="AP17" s="135">
        <f t="shared" si="38"/>
        <v>0</v>
      </c>
      <c r="AQ17" s="136">
        <f t="shared" si="39"/>
        <v>0</v>
      </c>
      <c r="AR17" s="137">
        <f t="shared" si="40"/>
        <v>1</v>
      </c>
      <c r="AS17" s="134">
        <f t="shared" si="41"/>
        <v>0</v>
      </c>
      <c r="AT17" s="134">
        <f t="shared" si="42"/>
        <v>114198</v>
      </c>
      <c r="AU17" s="134">
        <f t="shared" si="6"/>
        <v>0</v>
      </c>
      <c r="AV17" s="134">
        <f t="shared" si="43"/>
        <v>114198</v>
      </c>
      <c r="AW17" s="135">
        <f t="shared" si="44"/>
        <v>0</v>
      </c>
      <c r="AX17" s="135">
        <f t="shared" si="45"/>
        <v>0</v>
      </c>
      <c r="AY17" s="138">
        <f t="shared" si="46"/>
        <v>106724</v>
      </c>
      <c r="AZ17" s="139">
        <f t="shared" si="47"/>
        <v>-7474</v>
      </c>
      <c r="BA17" s="135">
        <f t="shared" si="48"/>
        <v>566</v>
      </c>
      <c r="BB17" s="140"/>
      <c r="BC17" s="141" t="e">
        <f>+G17-#REF!</f>
        <v>#REF!</v>
      </c>
      <c r="BD17" s="141">
        <v>24046</v>
      </c>
      <c r="BE17" s="141">
        <v>91766</v>
      </c>
    </row>
    <row r="18" spans="1:57" ht="18.75" customHeight="1">
      <c r="A18" s="128">
        <v>11</v>
      </c>
      <c r="B18" s="129">
        <v>232708</v>
      </c>
      <c r="C18" s="292">
        <f>VLOOKUP(A18,[3]Pivot!$A$4:$C$15,2,0)</f>
        <v>126846</v>
      </c>
      <c r="D18" s="293">
        <f>VLOOKUP(A18,[3]Pivot!$A$4:$C$15,3,0)</f>
        <v>101155.74061500485</v>
      </c>
      <c r="E18" s="130">
        <f t="shared" si="7"/>
        <v>267206</v>
      </c>
      <c r="F18" s="131">
        <f t="shared" si="8"/>
        <v>267206</v>
      </c>
      <c r="G18" s="297">
        <f t="shared" si="9"/>
        <v>216544</v>
      </c>
      <c r="H18" s="132">
        <f t="shared" si="10"/>
        <v>-16164</v>
      </c>
      <c r="I18" s="133">
        <f t="shared" si="11"/>
        <v>0</v>
      </c>
      <c r="J18" s="134">
        <f t="shared" si="0"/>
        <v>267206</v>
      </c>
      <c r="K18" s="134">
        <f t="shared" si="12"/>
        <v>0</v>
      </c>
      <c r="L18" s="134">
        <f t="shared" si="1"/>
        <v>-75219</v>
      </c>
      <c r="M18" s="134">
        <f t="shared" si="13"/>
        <v>191987</v>
      </c>
      <c r="N18" s="135">
        <f t="shared" si="14"/>
        <v>-40721</v>
      </c>
      <c r="O18" s="136">
        <f t="shared" si="15"/>
        <v>1</v>
      </c>
      <c r="P18" s="137">
        <f t="shared" si="16"/>
        <v>1</v>
      </c>
      <c r="Q18" s="134">
        <f t="shared" si="17"/>
        <v>0</v>
      </c>
      <c r="R18" s="134">
        <f t="shared" si="18"/>
        <v>232708</v>
      </c>
      <c r="S18" s="134">
        <f t="shared" si="2"/>
        <v>0</v>
      </c>
      <c r="T18" s="134">
        <f t="shared" si="19"/>
        <v>232708</v>
      </c>
      <c r="U18" s="135">
        <f t="shared" si="20"/>
        <v>0</v>
      </c>
      <c r="V18" s="136">
        <f t="shared" si="21"/>
        <v>0</v>
      </c>
      <c r="W18" s="137">
        <f t="shared" si="22"/>
        <v>1</v>
      </c>
      <c r="X18" s="134">
        <f t="shared" si="23"/>
        <v>0</v>
      </c>
      <c r="Y18" s="134">
        <f t="shared" si="24"/>
        <v>232708</v>
      </c>
      <c r="Z18" s="134">
        <f t="shared" si="3"/>
        <v>0</v>
      </c>
      <c r="AA18" s="134">
        <f t="shared" si="25"/>
        <v>232708</v>
      </c>
      <c r="AB18" s="135">
        <f t="shared" si="26"/>
        <v>0</v>
      </c>
      <c r="AC18" s="136">
        <f t="shared" si="27"/>
        <v>0</v>
      </c>
      <c r="AD18" s="137">
        <f t="shared" si="28"/>
        <v>1</v>
      </c>
      <c r="AE18" s="134">
        <f t="shared" si="29"/>
        <v>0</v>
      </c>
      <c r="AF18" s="134">
        <f t="shared" si="30"/>
        <v>232708</v>
      </c>
      <c r="AG18" s="134">
        <f t="shared" si="4"/>
        <v>0</v>
      </c>
      <c r="AH18" s="134">
        <f t="shared" si="31"/>
        <v>232708</v>
      </c>
      <c r="AI18" s="135">
        <f t="shared" si="32"/>
        <v>0</v>
      </c>
      <c r="AJ18" s="136">
        <f t="shared" si="33"/>
        <v>0</v>
      </c>
      <c r="AK18" s="137">
        <f t="shared" si="34"/>
        <v>1</v>
      </c>
      <c r="AL18" s="134">
        <f t="shared" si="35"/>
        <v>0</v>
      </c>
      <c r="AM18" s="134">
        <f t="shared" si="36"/>
        <v>232708</v>
      </c>
      <c r="AN18" s="134">
        <f t="shared" si="5"/>
        <v>0</v>
      </c>
      <c r="AO18" s="134">
        <f t="shared" si="37"/>
        <v>232708</v>
      </c>
      <c r="AP18" s="135">
        <f t="shared" si="38"/>
        <v>0</v>
      </c>
      <c r="AQ18" s="136">
        <f t="shared" si="39"/>
        <v>0</v>
      </c>
      <c r="AR18" s="137">
        <f t="shared" si="40"/>
        <v>1</v>
      </c>
      <c r="AS18" s="134">
        <f t="shared" si="41"/>
        <v>0</v>
      </c>
      <c r="AT18" s="134">
        <f t="shared" si="42"/>
        <v>232708</v>
      </c>
      <c r="AU18" s="134">
        <f t="shared" si="6"/>
        <v>0</v>
      </c>
      <c r="AV18" s="134">
        <f t="shared" si="43"/>
        <v>232708</v>
      </c>
      <c r="AW18" s="135">
        <f t="shared" si="44"/>
        <v>0</v>
      </c>
      <c r="AX18" s="135">
        <f t="shared" si="45"/>
        <v>0</v>
      </c>
      <c r="AY18" s="138">
        <f t="shared" si="46"/>
        <v>217477</v>
      </c>
      <c r="AZ18" s="139">
        <f t="shared" si="47"/>
        <v>-15231</v>
      </c>
      <c r="BA18" s="135">
        <f t="shared" si="48"/>
        <v>-933</v>
      </c>
      <c r="BB18" s="140"/>
      <c r="BC18" s="141" t="e">
        <f>+G18-#REF!</f>
        <v>#REF!</v>
      </c>
      <c r="BD18" s="141">
        <v>49173</v>
      </c>
      <c r="BE18" s="141">
        <v>187657</v>
      </c>
    </row>
    <row r="19" spans="1:57" s="155" customFormat="1" ht="18.75" customHeight="1" thickBot="1">
      <c r="A19" s="142" t="s">
        <v>1</v>
      </c>
      <c r="B19" s="143">
        <f t="shared" ref="B19:H19" si="49">SUM(B8:B18)</f>
        <v>1527137</v>
      </c>
      <c r="C19" s="294">
        <f t="shared" si="49"/>
        <v>840516</v>
      </c>
      <c r="D19" s="295">
        <f t="shared" si="49"/>
        <v>452521.74303488148</v>
      </c>
      <c r="E19" s="144">
        <f t="shared" si="49"/>
        <v>1427184</v>
      </c>
      <c r="F19" s="145">
        <f t="shared" si="49"/>
        <v>1652319</v>
      </c>
      <c r="G19" s="298">
        <f t="shared" si="49"/>
        <v>1427184</v>
      </c>
      <c r="H19" s="146">
        <f t="shared" si="49"/>
        <v>-99953</v>
      </c>
      <c r="I19" s="147"/>
      <c r="J19" s="148">
        <f t="shared" ref="J19:O19" si="50">SUM(J8:J18)</f>
        <v>799768</v>
      </c>
      <c r="K19" s="148">
        <f t="shared" si="50"/>
        <v>852551</v>
      </c>
      <c r="L19" s="148">
        <f t="shared" si="50"/>
        <v>-225135</v>
      </c>
      <c r="M19" s="148">
        <f t="shared" si="50"/>
        <v>1427184</v>
      </c>
      <c r="N19" s="148">
        <f t="shared" si="50"/>
        <v>-99953</v>
      </c>
      <c r="O19" s="149">
        <f t="shared" si="50"/>
        <v>4</v>
      </c>
      <c r="P19" s="150"/>
      <c r="Q19" s="148">
        <f t="shared" ref="Q19:V19" si="51">SUM(Q8:Q18)</f>
        <v>98663</v>
      </c>
      <c r="R19" s="148">
        <f t="shared" si="51"/>
        <v>1439293</v>
      </c>
      <c r="S19" s="148">
        <f t="shared" si="51"/>
        <v>-110772</v>
      </c>
      <c r="T19" s="148">
        <f t="shared" si="51"/>
        <v>1427184</v>
      </c>
      <c r="U19" s="148">
        <f t="shared" si="51"/>
        <v>-99953</v>
      </c>
      <c r="V19" s="149">
        <f t="shared" si="51"/>
        <v>1</v>
      </c>
      <c r="W19" s="150"/>
      <c r="X19" s="148">
        <f t="shared" ref="X19:AC19" si="52">SUM(X8:X18)</f>
        <v>0</v>
      </c>
      <c r="Y19" s="148">
        <f t="shared" si="52"/>
        <v>1527137</v>
      </c>
      <c r="Z19" s="148">
        <f t="shared" si="52"/>
        <v>0</v>
      </c>
      <c r="AA19" s="148">
        <f t="shared" si="52"/>
        <v>1527137</v>
      </c>
      <c r="AB19" s="148">
        <f t="shared" si="52"/>
        <v>0</v>
      </c>
      <c r="AC19" s="149">
        <f t="shared" si="52"/>
        <v>0</v>
      </c>
      <c r="AD19" s="150"/>
      <c r="AE19" s="148">
        <f t="shared" ref="AE19:AJ19" si="53">SUM(AE8:AE18)</f>
        <v>0</v>
      </c>
      <c r="AF19" s="148">
        <f t="shared" si="53"/>
        <v>1527137</v>
      </c>
      <c r="AG19" s="148">
        <f t="shared" si="53"/>
        <v>0</v>
      </c>
      <c r="AH19" s="148">
        <f t="shared" si="53"/>
        <v>1527137</v>
      </c>
      <c r="AI19" s="148">
        <f t="shared" si="53"/>
        <v>0</v>
      </c>
      <c r="AJ19" s="149">
        <f t="shared" si="53"/>
        <v>0</v>
      </c>
      <c r="AK19" s="150"/>
      <c r="AL19" s="148">
        <f t="shared" ref="AL19:AQ19" si="54">SUM(AL8:AL18)</f>
        <v>0</v>
      </c>
      <c r="AM19" s="148">
        <f t="shared" si="54"/>
        <v>1527137</v>
      </c>
      <c r="AN19" s="148">
        <f t="shared" si="54"/>
        <v>0</v>
      </c>
      <c r="AO19" s="148">
        <f t="shared" si="54"/>
        <v>1527137</v>
      </c>
      <c r="AP19" s="148">
        <f t="shared" si="54"/>
        <v>0</v>
      </c>
      <c r="AQ19" s="149">
        <f t="shared" si="54"/>
        <v>0</v>
      </c>
      <c r="AR19" s="150"/>
      <c r="AS19" s="148">
        <f t="shared" ref="AS19:BA19" si="55">SUM(AS8:AS18)</f>
        <v>0</v>
      </c>
      <c r="AT19" s="148">
        <f t="shared" si="55"/>
        <v>1527137</v>
      </c>
      <c r="AU19" s="148">
        <f t="shared" si="55"/>
        <v>0</v>
      </c>
      <c r="AV19" s="148">
        <f t="shared" si="55"/>
        <v>1527137</v>
      </c>
      <c r="AW19" s="148">
        <f t="shared" si="55"/>
        <v>0</v>
      </c>
      <c r="AX19" s="151">
        <f t="shared" si="55"/>
        <v>0</v>
      </c>
      <c r="AY19" s="152">
        <f t="shared" si="55"/>
        <v>1427184</v>
      </c>
      <c r="AZ19" s="153">
        <f>SUM(AZ8:AZ18)</f>
        <v>-99953</v>
      </c>
      <c r="BA19" s="151">
        <f t="shared" si="55"/>
        <v>0</v>
      </c>
      <c r="BB19" s="154"/>
      <c r="BC19" s="141" t="e">
        <f>+G19-#REF!</f>
        <v>#REF!</v>
      </c>
      <c r="BD19" s="209">
        <f>SUM(BD8:BD18)</f>
        <v>322142</v>
      </c>
      <c r="BE19" s="209">
        <f>SUM(BE8:BE18)</f>
        <v>1229380</v>
      </c>
    </row>
    <row r="20" spans="1:57">
      <c r="J20" s="156"/>
      <c r="K20" s="156"/>
      <c r="L20" s="156"/>
      <c r="M20" s="156"/>
      <c r="N20" s="156"/>
    </row>
    <row r="22" spans="1:57">
      <c r="A22" s="155" t="s">
        <v>143</v>
      </c>
    </row>
    <row r="23" spans="1:57">
      <c r="B23" s="124" t="s">
        <v>142</v>
      </c>
      <c r="C23" s="157">
        <v>1527137</v>
      </c>
      <c r="D23" s="158" t="s">
        <v>1</v>
      </c>
      <c r="E23" s="141">
        <f>+E19</f>
        <v>1427184</v>
      </c>
      <c r="F23" s="141"/>
      <c r="G23" s="157">
        <f>+G19</f>
        <v>1427184</v>
      </c>
      <c r="H23" s="141"/>
      <c r="I23" s="159"/>
      <c r="J23" s="159"/>
      <c r="K23" s="159"/>
      <c r="L23" s="159"/>
      <c r="M23" s="141">
        <f>+M19</f>
        <v>1427184</v>
      </c>
      <c r="N23" s="141"/>
      <c r="T23" s="141">
        <f>+T19</f>
        <v>1427184</v>
      </c>
      <c r="U23" s="141"/>
      <c r="AA23" s="141">
        <f>+AA19</f>
        <v>1527137</v>
      </c>
      <c r="AB23" s="141"/>
      <c r="AH23" s="141">
        <f>+AH19</f>
        <v>1527137</v>
      </c>
      <c r="AI23" s="141"/>
      <c r="AO23" s="141">
        <f>+AO19</f>
        <v>1527137</v>
      </c>
      <c r="AP23" s="141"/>
      <c r="AV23" s="141">
        <f>+AV19</f>
        <v>1527137</v>
      </c>
      <c r="AW23" s="141"/>
      <c r="AY23" s="141">
        <f>+AY19</f>
        <v>1427184</v>
      </c>
      <c r="AZ23" s="141"/>
      <c r="BC23" s="141"/>
      <c r="BD23" s="210" t="e">
        <f>+#REF!</f>
        <v>#REF!</v>
      </c>
      <c r="BE23" s="210" t="e">
        <f>+#REF!</f>
        <v>#REF!</v>
      </c>
    </row>
    <row r="24" spans="1:57">
      <c r="B24" s="160" t="s">
        <v>218</v>
      </c>
      <c r="C24" s="161">
        <f>+'2013 Award #3'!F24</f>
        <v>1427184</v>
      </c>
      <c r="D24" s="158" t="s">
        <v>184</v>
      </c>
      <c r="E24" s="162">
        <f>+C24</f>
        <v>1427184</v>
      </c>
      <c r="F24" s="141"/>
      <c r="G24" s="161">
        <f>+C24</f>
        <v>1427184</v>
      </c>
      <c r="H24" s="163"/>
      <c r="M24" s="162">
        <f>+C24</f>
        <v>1427184</v>
      </c>
      <c r="N24" s="163"/>
      <c r="T24" s="162">
        <f>+C24</f>
        <v>1427184</v>
      </c>
      <c r="U24" s="163"/>
      <c r="AA24" s="162">
        <f>+C24</f>
        <v>1427184</v>
      </c>
      <c r="AB24" s="163"/>
      <c r="AH24" s="162">
        <f>+C24</f>
        <v>1427184</v>
      </c>
      <c r="AI24" s="163"/>
      <c r="AO24" s="162">
        <f>+C24</f>
        <v>1427184</v>
      </c>
      <c r="AP24" s="163"/>
      <c r="AV24" s="162">
        <f>+$C$24</f>
        <v>1427184</v>
      </c>
      <c r="AW24" s="163"/>
      <c r="AY24" s="162">
        <f>+C24</f>
        <v>1427184</v>
      </c>
      <c r="AZ24" s="163"/>
      <c r="BC24" s="163"/>
      <c r="BD24" s="211">
        <f>+BD19</f>
        <v>322142</v>
      </c>
      <c r="BE24" s="211">
        <f>+BE19</f>
        <v>1229380</v>
      </c>
    </row>
    <row r="25" spans="1:57">
      <c r="B25" s="160" t="s">
        <v>174</v>
      </c>
      <c r="C25" s="164">
        <f>C24-B19</f>
        <v>-99953</v>
      </c>
      <c r="D25" s="158" t="s">
        <v>32</v>
      </c>
      <c r="E25" s="141">
        <f>+E23-E24</f>
        <v>0</v>
      </c>
      <c r="F25" s="141"/>
      <c r="G25" s="164">
        <f>+G23-G24</f>
        <v>0</v>
      </c>
      <c r="H25" s="141"/>
      <c r="M25" s="141">
        <f>+M23-M24</f>
        <v>0</v>
      </c>
      <c r="N25" s="141"/>
      <c r="T25" s="141">
        <f>+T23-T24</f>
        <v>0</v>
      </c>
      <c r="U25" s="141"/>
      <c r="AA25" s="141">
        <f>+AA23-AA24</f>
        <v>99953</v>
      </c>
      <c r="AB25" s="141"/>
      <c r="AH25" s="141">
        <f>+AH23-AH24</f>
        <v>99953</v>
      </c>
      <c r="AI25" s="141"/>
      <c r="AO25" s="141">
        <f>+AO23-AO24</f>
        <v>99953</v>
      </c>
      <c r="AP25" s="141"/>
      <c r="AV25" s="141">
        <f>+AV23-AV24</f>
        <v>99953</v>
      </c>
      <c r="AW25" s="141"/>
      <c r="AY25" s="141">
        <f>+AY23-AY24</f>
        <v>0</v>
      </c>
      <c r="AZ25" s="141"/>
      <c r="BC25" s="141"/>
      <c r="BD25" s="210" t="e">
        <f>+BD23-BD24</f>
        <v>#REF!</v>
      </c>
      <c r="BE25" s="210" t="e">
        <f>+BE23-BE24</f>
        <v>#REF!</v>
      </c>
    </row>
    <row r="26" spans="1:57">
      <c r="C26" s="165"/>
    </row>
    <row r="27" spans="1:57">
      <c r="B27" s="160"/>
      <c r="C27" s="166"/>
      <c r="D27" s="166"/>
      <c r="AY27" s="141"/>
      <c r="AZ27" s="141"/>
      <c r="BA27" s="141"/>
    </row>
    <row r="28" spans="1:57">
      <c r="B28" s="160"/>
      <c r="C28" s="166"/>
      <c r="D28" s="166"/>
    </row>
    <row r="29" spans="1:57">
      <c r="B29" s="160"/>
      <c r="C29" s="166"/>
      <c r="D29" s="166"/>
    </row>
    <row r="30" spans="1:57">
      <c r="B30" s="160"/>
      <c r="C30" s="166"/>
      <c r="D30" s="166"/>
    </row>
    <row r="31" spans="1:57">
      <c r="B31" s="160"/>
      <c r="C31" s="166"/>
      <c r="D31" s="166"/>
    </row>
    <row r="32" spans="1:57">
      <c r="B32" s="160"/>
      <c r="C32" s="166"/>
      <c r="D32" s="166"/>
    </row>
    <row r="33" spans="2:4">
      <c r="B33" s="160"/>
      <c r="C33" s="166"/>
      <c r="D33" s="166"/>
    </row>
    <row r="34" spans="2:4">
      <c r="B34" s="160"/>
      <c r="C34" s="166"/>
      <c r="D34" s="166"/>
    </row>
    <row r="35" spans="2:4">
      <c r="B35" s="160"/>
      <c r="C35" s="166"/>
      <c r="D35" s="166"/>
    </row>
    <row r="36" spans="2:4">
      <c r="B36" s="160"/>
      <c r="C36" s="166"/>
      <c r="D36" s="166"/>
    </row>
  </sheetData>
  <mergeCells count="10">
    <mergeCell ref="BD7:BE7"/>
    <mergeCell ref="C6:E6"/>
    <mergeCell ref="F6:H6"/>
    <mergeCell ref="I6:O6"/>
    <mergeCell ref="P6:V6"/>
    <mergeCell ref="W6:AC6"/>
    <mergeCell ref="AD6:AJ6"/>
    <mergeCell ref="AK6:AQ6"/>
    <mergeCell ref="AR6:AX6"/>
    <mergeCell ref="AY6:BA6"/>
  </mergeCells>
  <pageMargins left="0.75" right="0.75" top="0.75" bottom="0.75" header="0.5" footer="0.5"/>
  <pageSetup paperSize="5" scale="78" orientation="landscape" horizontalDpi="1200" verticalDpi="1200" r:id="rId1"/>
  <headerFooter alignWithMargins="0">
    <oddFooter>&amp;L&amp;"-,Regular"&amp;9&amp;Z&amp;F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3:F16"/>
  <sheetViews>
    <sheetView workbookViewId="0">
      <selection activeCell="A4" sqref="A4"/>
    </sheetView>
  </sheetViews>
  <sheetFormatPr defaultRowHeight="15"/>
  <cols>
    <col min="1" max="1" width="8.77734375" style="17" customWidth="1"/>
    <col min="2" max="2" width="16.21875" style="17" bestFit="1" customWidth="1"/>
    <col min="3" max="3" width="16.44140625" style="17" bestFit="1" customWidth="1"/>
    <col min="4" max="4" width="15.77734375" style="17" bestFit="1" customWidth="1"/>
    <col min="5" max="5" width="16.21875" style="17" bestFit="1" customWidth="1"/>
    <col min="6" max="6" width="18.21875" style="14" customWidth="1"/>
    <col min="7" max="16384" width="8.88671875" style="14"/>
  </cols>
  <sheetData>
    <row r="3" spans="1:6">
      <c r="B3" s="19" t="s">
        <v>118</v>
      </c>
      <c r="F3" s="105"/>
    </row>
    <row r="4" spans="1:6" s="15" customFormat="1" ht="45">
      <c r="A4" s="18" t="s">
        <v>5</v>
      </c>
      <c r="B4" s="16" t="s">
        <v>151</v>
      </c>
      <c r="C4" s="16" t="s">
        <v>152</v>
      </c>
      <c r="D4" s="16" t="s">
        <v>153</v>
      </c>
      <c r="E4" s="16" t="s">
        <v>158</v>
      </c>
      <c r="F4" s="106" t="s">
        <v>120</v>
      </c>
    </row>
    <row r="5" spans="1:6">
      <c r="A5" s="17">
        <v>1</v>
      </c>
      <c r="B5" s="20">
        <v>146837</v>
      </c>
      <c r="C5" s="20">
        <v>12026</v>
      </c>
      <c r="D5" s="20">
        <v>5927</v>
      </c>
      <c r="E5" s="20">
        <v>22563</v>
      </c>
      <c r="F5" s="107">
        <f>(B5/B$16)*0.35+(C5/C$16)*0.35+(D5/D$16)*0.15+(E5/E$16)*0.15</f>
        <v>2.8318023085902436E-2</v>
      </c>
    </row>
    <row r="6" spans="1:6">
      <c r="A6" s="17">
        <v>2</v>
      </c>
      <c r="B6" s="20">
        <v>143847</v>
      </c>
      <c r="C6" s="20">
        <v>15889</v>
      </c>
      <c r="D6" s="20">
        <v>8055</v>
      </c>
      <c r="E6" s="20">
        <v>18408</v>
      </c>
      <c r="F6" s="107">
        <f t="shared" ref="F6:F15" si="0">(B6/B$16)*0.35+(C6/C$16)*0.35+(D6/D$16)*0.15+(E6/E$16)*0.15</f>
        <v>3.1094682402775849E-2</v>
      </c>
    </row>
    <row r="7" spans="1:6">
      <c r="A7" s="17">
        <v>3</v>
      </c>
      <c r="B7" s="20">
        <v>510254</v>
      </c>
      <c r="C7" s="20">
        <v>44064</v>
      </c>
      <c r="D7" s="20">
        <v>14611</v>
      </c>
      <c r="E7" s="20">
        <v>66473</v>
      </c>
      <c r="F7" s="107">
        <f t="shared" si="0"/>
        <v>9.4393667974623785E-2</v>
      </c>
    </row>
    <row r="8" spans="1:6">
      <c r="A8" s="17">
        <v>4</v>
      </c>
      <c r="B8" s="20">
        <v>441338</v>
      </c>
      <c r="C8" s="20">
        <v>38509</v>
      </c>
      <c r="D8" s="20">
        <v>17682</v>
      </c>
      <c r="E8" s="20">
        <v>59870</v>
      </c>
      <c r="F8" s="107">
        <f t="shared" si="0"/>
        <v>8.4982791594605214E-2</v>
      </c>
    </row>
    <row r="9" spans="1:6">
      <c r="A9" s="17">
        <v>5</v>
      </c>
      <c r="B9" s="20">
        <v>405472</v>
      </c>
      <c r="C9" s="20">
        <v>36493</v>
      </c>
      <c r="D9" s="20">
        <v>9358</v>
      </c>
      <c r="E9" s="20">
        <v>57660</v>
      </c>
      <c r="F9" s="107">
        <f t="shared" si="0"/>
        <v>7.6146704549262215E-2</v>
      </c>
    </row>
    <row r="10" spans="1:6">
      <c r="A10" s="17">
        <v>6</v>
      </c>
      <c r="B10" s="20">
        <v>525650</v>
      </c>
      <c r="C10" s="20">
        <v>47757</v>
      </c>
      <c r="D10" s="20">
        <v>28392</v>
      </c>
      <c r="E10" s="20">
        <v>73063</v>
      </c>
      <c r="F10" s="107">
        <f t="shared" si="0"/>
        <v>0.10666900680277744</v>
      </c>
    </row>
    <row r="11" spans="1:6">
      <c r="A11" s="17">
        <v>7</v>
      </c>
      <c r="B11" s="20">
        <v>461548</v>
      </c>
      <c r="C11" s="20">
        <v>39768</v>
      </c>
      <c r="D11" s="20">
        <v>28391</v>
      </c>
      <c r="E11" s="20">
        <v>64088</v>
      </c>
      <c r="F11" s="107">
        <f t="shared" si="0"/>
        <v>9.3712287366245164E-2</v>
      </c>
    </row>
    <row r="12" spans="1:6">
      <c r="A12" s="17">
        <v>8</v>
      </c>
      <c r="B12" s="20">
        <v>557259</v>
      </c>
      <c r="C12" s="20">
        <v>37343</v>
      </c>
      <c r="D12" s="20">
        <v>11498</v>
      </c>
      <c r="E12" s="20">
        <v>62201</v>
      </c>
      <c r="F12" s="107">
        <f t="shared" si="0"/>
        <v>9.0312367878102415E-2</v>
      </c>
    </row>
    <row r="13" spans="1:6">
      <c r="A13" s="17">
        <v>9</v>
      </c>
      <c r="B13" s="20">
        <v>567969</v>
      </c>
      <c r="C13" s="20">
        <v>44320</v>
      </c>
      <c r="D13" s="20">
        <v>22657</v>
      </c>
      <c r="E13" s="20">
        <v>72088</v>
      </c>
      <c r="F13" s="107">
        <f t="shared" si="0"/>
        <v>0.10419788015118078</v>
      </c>
    </row>
    <row r="14" spans="1:6">
      <c r="A14" s="17">
        <v>10</v>
      </c>
      <c r="B14" s="20">
        <v>369251</v>
      </c>
      <c r="C14" s="20">
        <v>42358</v>
      </c>
      <c r="D14" s="20">
        <v>28872</v>
      </c>
      <c r="E14" s="20">
        <v>58222</v>
      </c>
      <c r="F14" s="107">
        <f t="shared" si="0"/>
        <v>8.7602638759690571E-2</v>
      </c>
    </row>
    <row r="15" spans="1:6">
      <c r="A15" s="17">
        <v>11</v>
      </c>
      <c r="B15" s="20">
        <v>526859</v>
      </c>
      <c r="C15" s="20">
        <v>104084</v>
      </c>
      <c r="D15" s="20">
        <v>129141</v>
      </c>
      <c r="E15" s="20">
        <v>88402</v>
      </c>
      <c r="F15" s="107">
        <f t="shared" si="0"/>
        <v>0.20256994943483403</v>
      </c>
    </row>
    <row r="16" spans="1:6">
      <c r="A16" s="17" t="s">
        <v>119</v>
      </c>
      <c r="B16" s="20">
        <v>4656284</v>
      </c>
      <c r="C16" s="20">
        <v>462611</v>
      </c>
      <c r="D16" s="20">
        <v>304584</v>
      </c>
      <c r="E16" s="20">
        <v>643038</v>
      </c>
      <c r="F16" s="108">
        <f>SUM(F5:F15)</f>
        <v>0.99999999999999978</v>
      </c>
    </row>
  </sheetData>
  <pageMargins left="0.7" right="0.7" top="0.75" bottom="0.75" header="0.3" footer="0.3"/>
  <pageSetup orientation="landscape" r:id="rId2"/>
  <headerFooter>
    <oddFooter>&amp;L&amp;"-,Regular"&amp;9&amp;Z&amp;F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Summary of Allocation with CF</vt:lpstr>
      <vt:lpstr>2012 CF OAA</vt:lpstr>
      <vt:lpstr>2012 CF IIID</vt:lpstr>
      <vt:lpstr>2013 Award #3</vt:lpstr>
      <vt:lpstr>2013 Award Sequestration</vt:lpstr>
      <vt:lpstr>2013 Svcs &amp; Admin Allocation</vt:lpstr>
      <vt:lpstr>2013 Admin Formula </vt:lpstr>
      <vt:lpstr>2013 Title III-D Allocation</vt:lpstr>
      <vt:lpstr>Pivot - Demographics</vt:lpstr>
      <vt:lpstr>Demographics</vt:lpstr>
      <vt:lpstr>2003 Admin</vt:lpstr>
      <vt:lpstr>2003 Base Factors</vt:lpstr>
      <vt:lpstr>2003 Demographics</vt:lpstr>
      <vt:lpstr>'2012 CF IIID'!Print_Area</vt:lpstr>
      <vt:lpstr>'2012 CF OAA'!Print_Area</vt:lpstr>
      <vt:lpstr>'2013 Admin Formula '!Print_Area</vt:lpstr>
      <vt:lpstr>'2013 Title III-D Allocation'!Print_Area</vt:lpstr>
      <vt:lpstr>Demographics!Print_Titles</vt:lpstr>
    </vt:vector>
  </TitlesOfParts>
  <Company>DOEA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2013-09-06T15:08:05Z</cp:lastPrinted>
  <dcterms:created xsi:type="dcterms:W3CDTF">2011-06-09T17:24:00Z</dcterms:created>
  <dcterms:modified xsi:type="dcterms:W3CDTF">2013-09-24T21:13:09Z</dcterms:modified>
</cp:coreProperties>
</file>