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1970" windowHeight="6060" tabRatio="582" activeTab="1"/>
  </bookViews>
  <sheets>
    <sheet name="final award 6-2-11" sheetId="19" r:id="rId1"/>
    <sheet name="2011 Svcs and Adm Alloca  updat" sheetId="4" r:id="rId2"/>
    <sheet name="2011 Admin Formula " sheetId="6" r:id="rId3"/>
    <sheet name="2011 Svcs Formula" sheetId="7" r:id="rId4"/>
    <sheet name="IIID Prevention " sheetId="10" r:id="rId5"/>
    <sheet name="OAA updated" sheetId="9" r:id="rId6"/>
    <sheet name="2011 population" sheetId="21" r:id="rId7"/>
    <sheet name="2010 allot with carry forwards" sheetId="15" r:id="rId8"/>
    <sheet name="Sheet1" sheetId="13" r:id="rId9"/>
    <sheet name="Sheet3" sheetId="20" r:id="rId10"/>
    <sheet name="oaa 2011 hopeful award" sheetId="18" r:id="rId11"/>
    <sheet name="original 2011cr thru 4-8" sheetId="5" r:id="rId12"/>
  </sheets>
  <externalReferences>
    <externalReference r:id="rId13"/>
  </externalReferences>
  <definedNames>
    <definedName name="Excel_BuiltIn_Print_Area" localSheetId="6">#REF!</definedName>
    <definedName name="Excel_BuiltIn_Print_Area" localSheetId="0">#REF!</definedName>
    <definedName name="Excel_BuiltIn_Print_Area" localSheetId="10">#REF!</definedName>
    <definedName name="Excel_BuiltIn_Print_Area">#REF!</definedName>
    <definedName name="_xlnm.Print_Area" localSheetId="7">'2010 allot with carry forwards'!$A$1:$AG$42</definedName>
    <definedName name="_xlnm.Print_Area" localSheetId="2">'2011 Admin Formula '!$A$1:$Q$41</definedName>
    <definedName name="_xlnm.Print_Area" localSheetId="6">#REF!</definedName>
    <definedName name="_xlnm.Print_Area" localSheetId="1">'2011 Svcs and Adm Alloca  updat'!$A$1:$V$42</definedName>
    <definedName name="_xlnm.Print_Area" localSheetId="3">'2011 Svcs Formula'!$A$1:$O$44</definedName>
    <definedName name="_xlnm.Print_Area" localSheetId="0">#REF!</definedName>
    <definedName name="_xlnm.Print_Area" localSheetId="10">#REF!</definedName>
    <definedName name="_xlnm.Print_Area">#REF!</definedName>
  </definedNames>
  <calcPr calcId="125725"/>
</workbook>
</file>

<file path=xl/calcChain.xml><?xml version="1.0" encoding="utf-8"?>
<calcChain xmlns="http://schemas.openxmlformats.org/spreadsheetml/2006/main">
  <c r="V35" i="15"/>
  <c r="M35"/>
  <c r="S35" i="4"/>
  <c r="AC35" i="15"/>
  <c r="Y35"/>
  <c r="D35"/>
  <c r="H35"/>
  <c r="L35"/>
  <c r="I9" i="9"/>
  <c r="K37" i="6"/>
  <c r="J82" i="21"/>
  <c r="H82"/>
  <c r="G82"/>
  <c r="E82"/>
  <c r="I82" s="1"/>
  <c r="I4" s="1"/>
  <c r="J81"/>
  <c r="I81"/>
  <c r="H81"/>
  <c r="G81"/>
  <c r="J80"/>
  <c r="I80"/>
  <c r="H80"/>
  <c r="G80"/>
  <c r="J79"/>
  <c r="I79"/>
  <c r="H79"/>
  <c r="G79"/>
  <c r="J78"/>
  <c r="I78"/>
  <c r="H78"/>
  <c r="G78"/>
  <c r="J77"/>
  <c r="I77"/>
  <c r="H77"/>
  <c r="G77"/>
  <c r="J76"/>
  <c r="I76"/>
  <c r="H76"/>
  <c r="G76"/>
  <c r="J75"/>
  <c r="I75"/>
  <c r="H75"/>
  <c r="G75"/>
  <c r="J74"/>
  <c r="I74"/>
  <c r="H74"/>
  <c r="G74"/>
  <c r="J73"/>
  <c r="I73"/>
  <c r="H73"/>
  <c r="G73"/>
  <c r="J72"/>
  <c r="I72"/>
  <c r="H72"/>
  <c r="G72"/>
  <c r="J71"/>
  <c r="I71"/>
  <c r="H71"/>
  <c r="G71"/>
  <c r="J70"/>
  <c r="I70"/>
  <c r="H70"/>
  <c r="G70"/>
  <c r="J69"/>
  <c r="I69"/>
  <c r="H69"/>
  <c r="G69"/>
  <c r="J68"/>
  <c r="I68"/>
  <c r="H68"/>
  <c r="G68"/>
  <c r="J67"/>
  <c r="I67"/>
  <c r="H67"/>
  <c r="G67"/>
  <c r="J66"/>
  <c r="I66"/>
  <c r="H66"/>
  <c r="G66"/>
  <c r="J65"/>
  <c r="I65"/>
  <c r="H65"/>
  <c r="G65"/>
  <c r="J64"/>
  <c r="I64"/>
  <c r="H64"/>
  <c r="G64"/>
  <c r="J63"/>
  <c r="I63"/>
  <c r="H63"/>
  <c r="G63"/>
  <c r="J62"/>
  <c r="I62"/>
  <c r="H62"/>
  <c r="G62"/>
  <c r="J61"/>
  <c r="I61"/>
  <c r="H61"/>
  <c r="G61"/>
  <c r="J60"/>
  <c r="I60"/>
  <c r="H60"/>
  <c r="G60"/>
  <c r="J59"/>
  <c r="I59"/>
  <c r="H59"/>
  <c r="G59"/>
  <c r="J58"/>
  <c r="I58"/>
  <c r="H58"/>
  <c r="G58"/>
  <c r="J57"/>
  <c r="I57"/>
  <c r="H57"/>
  <c r="G57"/>
  <c r="J56"/>
  <c r="I56"/>
  <c r="H56"/>
  <c r="G56"/>
  <c r="J55"/>
  <c r="I55"/>
  <c r="H55"/>
  <c r="G55"/>
  <c r="J54"/>
  <c r="I54"/>
  <c r="H54"/>
  <c r="G54"/>
  <c r="J53"/>
  <c r="I53"/>
  <c r="H53"/>
  <c r="G53"/>
  <c r="J52"/>
  <c r="I52"/>
  <c r="H52"/>
  <c r="G52"/>
  <c r="J51"/>
  <c r="I51"/>
  <c r="H51"/>
  <c r="G51"/>
  <c r="J50"/>
  <c r="I50"/>
  <c r="H50"/>
  <c r="G50"/>
  <c r="J49"/>
  <c r="I49"/>
  <c r="H49"/>
  <c r="G49"/>
  <c r="J48"/>
  <c r="I48"/>
  <c r="H48"/>
  <c r="G48"/>
  <c r="J47"/>
  <c r="I47"/>
  <c r="H47"/>
  <c r="G47"/>
  <c r="J46"/>
  <c r="I46"/>
  <c r="H46"/>
  <c r="G46"/>
  <c r="J45"/>
  <c r="I45"/>
  <c r="H45"/>
  <c r="G45"/>
  <c r="J44"/>
  <c r="I44"/>
  <c r="H44"/>
  <c r="G44"/>
  <c r="J43"/>
  <c r="I43"/>
  <c r="H43"/>
  <c r="G43"/>
  <c r="J42"/>
  <c r="I42"/>
  <c r="H42"/>
  <c r="G42"/>
  <c r="J41"/>
  <c r="I41"/>
  <c r="H41"/>
  <c r="G41"/>
  <c r="J40"/>
  <c r="I40"/>
  <c r="H40"/>
  <c r="G40"/>
  <c r="J39"/>
  <c r="I39"/>
  <c r="H39"/>
  <c r="G39"/>
  <c r="J38"/>
  <c r="I38"/>
  <c r="H38"/>
  <c r="G38"/>
  <c r="J37"/>
  <c r="I37"/>
  <c r="H37"/>
  <c r="G37"/>
  <c r="J36"/>
  <c r="I36"/>
  <c r="H36"/>
  <c r="G36"/>
  <c r="J35"/>
  <c r="I35"/>
  <c r="H35"/>
  <c r="G35"/>
  <c r="J34"/>
  <c r="I34"/>
  <c r="H34"/>
  <c r="G34"/>
  <c r="J33"/>
  <c r="I33"/>
  <c r="H33"/>
  <c r="G33"/>
  <c r="J32"/>
  <c r="I32"/>
  <c r="H32"/>
  <c r="G32"/>
  <c r="J31"/>
  <c r="I31"/>
  <c r="H31"/>
  <c r="G31"/>
  <c r="J30"/>
  <c r="I30"/>
  <c r="H30"/>
  <c r="G30"/>
  <c r="J29"/>
  <c r="I29"/>
  <c r="H29"/>
  <c r="G29"/>
  <c r="J28"/>
  <c r="I28"/>
  <c r="H28"/>
  <c r="G28"/>
  <c r="J27"/>
  <c r="I27"/>
  <c r="H27"/>
  <c r="G27"/>
  <c r="J26"/>
  <c r="I26"/>
  <c r="H26"/>
  <c r="G26"/>
  <c r="J25"/>
  <c r="I25"/>
  <c r="H25"/>
  <c r="G25"/>
  <c r="J24"/>
  <c r="I24"/>
  <c r="H24"/>
  <c r="G24"/>
  <c r="J23"/>
  <c r="I23"/>
  <c r="H23"/>
  <c r="G23"/>
  <c r="J22"/>
  <c r="I22"/>
  <c r="H22"/>
  <c r="G22"/>
  <c r="J21"/>
  <c r="I21"/>
  <c r="H21"/>
  <c r="G21"/>
  <c r="J20"/>
  <c r="I20"/>
  <c r="H20"/>
  <c r="G20"/>
  <c r="J19"/>
  <c r="I19"/>
  <c r="H19"/>
  <c r="G19"/>
  <c r="J18"/>
  <c r="I18"/>
  <c r="H18"/>
  <c r="G18"/>
  <c r="J17"/>
  <c r="I17"/>
  <c r="H17"/>
  <c r="G17"/>
  <c r="J16"/>
  <c r="I16"/>
  <c r="H16"/>
  <c r="G16"/>
  <c r="J15"/>
  <c r="I15"/>
  <c r="H15"/>
  <c r="G15"/>
  <c r="J14"/>
  <c r="I14"/>
  <c r="H14"/>
  <c r="G14"/>
  <c r="J13"/>
  <c r="I13"/>
  <c r="H13"/>
  <c r="G13"/>
  <c r="J12"/>
  <c r="I12"/>
  <c r="H12"/>
  <c r="G12"/>
  <c r="J11"/>
  <c r="I11"/>
  <c r="H11"/>
  <c r="G11"/>
  <c r="J10"/>
  <c r="I10"/>
  <c r="H10"/>
  <c r="G10"/>
  <c r="J9"/>
  <c r="I9"/>
  <c r="H9"/>
  <c r="G9"/>
  <c r="J8"/>
  <c r="I8"/>
  <c r="H8"/>
  <c r="G8"/>
  <c r="J7"/>
  <c r="I7"/>
  <c r="H7"/>
  <c r="G7"/>
  <c r="J6"/>
  <c r="I6"/>
  <c r="H6"/>
  <c r="G6"/>
  <c r="J5"/>
  <c r="I5"/>
  <c r="H5"/>
  <c r="G5"/>
  <c r="J4"/>
  <c r="H4"/>
  <c r="G4"/>
  <c r="E4"/>
  <c r="D4"/>
  <c r="C4"/>
  <c r="N9" i="4"/>
  <c r="N33" s="1"/>
  <c r="K9"/>
  <c r="K33" s="1"/>
  <c r="H9"/>
  <c r="H33" s="1"/>
  <c r="E9"/>
  <c r="E13" s="1"/>
  <c r="E30" i="9"/>
  <c r="B26" i="19" l="1"/>
  <c r="B25"/>
  <c r="B24"/>
  <c r="B18"/>
  <c r="B16"/>
  <c r="I45"/>
  <c r="I46" s="1"/>
  <c r="B28"/>
  <c r="I26"/>
  <c r="H26"/>
  <c r="G24"/>
  <c r="G26" s="1"/>
  <c r="G29" s="1"/>
  <c r="F24"/>
  <c r="F26" s="1"/>
  <c r="F29" s="1"/>
  <c r="E24"/>
  <c r="E26" s="1"/>
  <c r="E29" s="1"/>
  <c r="D24"/>
  <c r="D26" s="1"/>
  <c r="D29" s="1"/>
  <c r="I21"/>
  <c r="B21" s="1"/>
  <c r="H20"/>
  <c r="B20"/>
  <c r="I18"/>
  <c r="H18"/>
  <c r="G18"/>
  <c r="F18"/>
  <c r="E18"/>
  <c r="D18"/>
  <c r="C18"/>
  <c r="C24" s="1"/>
  <c r="C26" s="1"/>
  <c r="C29" s="1"/>
  <c r="I13"/>
  <c r="H13"/>
  <c r="G13"/>
  <c r="F13"/>
  <c r="E13"/>
  <c r="D13"/>
  <c r="C13"/>
  <c r="B12"/>
  <c r="B11"/>
  <c r="B25" i="18"/>
  <c r="B11"/>
  <c r="B13" i="19" l="1"/>
  <c r="I47"/>
  <c r="B12" i="5"/>
  <c r="G24" i="18"/>
  <c r="G26" s="1"/>
  <c r="G29" s="1"/>
  <c r="I21"/>
  <c r="I46" s="1"/>
  <c r="H20"/>
  <c r="B20" s="1"/>
  <c r="I45"/>
  <c r="B28"/>
  <c r="I26"/>
  <c r="H26"/>
  <c r="B21"/>
  <c r="I18"/>
  <c r="H18"/>
  <c r="G18"/>
  <c r="F18"/>
  <c r="F24" s="1"/>
  <c r="F26" s="1"/>
  <c r="F29" s="1"/>
  <c r="E18"/>
  <c r="E24" s="1"/>
  <c r="E26" s="1"/>
  <c r="D18"/>
  <c r="D24" s="1"/>
  <c r="D26" s="1"/>
  <c r="C18"/>
  <c r="C24" s="1"/>
  <c r="C26" s="1"/>
  <c r="B16"/>
  <c r="B18" s="1"/>
  <c r="B24" s="1"/>
  <c r="Z13" i="15"/>
  <c r="Z15"/>
  <c r="Z17"/>
  <c r="Z19"/>
  <c r="Z21"/>
  <c r="Z23"/>
  <c r="Z25"/>
  <c r="Z27"/>
  <c r="Z29"/>
  <c r="Z31"/>
  <c r="Z33"/>
  <c r="AA35"/>
  <c r="W13"/>
  <c r="U35"/>
  <c r="S35"/>
  <c r="R35"/>
  <c r="T33"/>
  <c r="T31"/>
  <c r="T29"/>
  <c r="T27"/>
  <c r="T25"/>
  <c r="T23"/>
  <c r="T21"/>
  <c r="T19"/>
  <c r="T17"/>
  <c r="T15"/>
  <c r="T13"/>
  <c r="I35"/>
  <c r="J35"/>
  <c r="G13"/>
  <c r="C35"/>
  <c r="J55"/>
  <c r="J53"/>
  <c r="J51"/>
  <c r="J49"/>
  <c r="X35"/>
  <c r="Z35" s="1"/>
  <c r="Q35"/>
  <c r="P35"/>
  <c r="E35"/>
  <c r="W33"/>
  <c r="K33"/>
  <c r="G33"/>
  <c r="W31"/>
  <c r="O31"/>
  <c r="K31"/>
  <c r="G31"/>
  <c r="W29"/>
  <c r="O29"/>
  <c r="G29"/>
  <c r="W27"/>
  <c r="K27"/>
  <c r="G27"/>
  <c r="W25"/>
  <c r="O25"/>
  <c r="K25"/>
  <c r="G25"/>
  <c r="W23"/>
  <c r="O23"/>
  <c r="K23"/>
  <c r="G23"/>
  <c r="W21"/>
  <c r="O21"/>
  <c r="K21"/>
  <c r="F35"/>
  <c r="W19"/>
  <c r="O19"/>
  <c r="K19"/>
  <c r="G19"/>
  <c r="W17"/>
  <c r="O17"/>
  <c r="G17"/>
  <c r="W15"/>
  <c r="K15"/>
  <c r="G15"/>
  <c r="O13"/>
  <c r="B28" i="5"/>
  <c r="F24"/>
  <c r="B16"/>
  <c r="C17" i="6"/>
  <c r="G17"/>
  <c r="C19"/>
  <c r="G19"/>
  <c r="C21"/>
  <c r="G21"/>
  <c r="C23"/>
  <c r="G23"/>
  <c r="C25"/>
  <c r="G25"/>
  <c r="C27"/>
  <c r="G27"/>
  <c r="C29"/>
  <c r="G29"/>
  <c r="C31"/>
  <c r="G31"/>
  <c r="C33"/>
  <c r="G33"/>
  <c r="C35"/>
  <c r="D35"/>
  <c r="E15" s="1"/>
  <c r="F35"/>
  <c r="G13" s="1"/>
  <c r="H35"/>
  <c r="I13" s="1"/>
  <c r="G33" i="4"/>
  <c r="J33"/>
  <c r="J35" s="1"/>
  <c r="M33"/>
  <c r="C35"/>
  <c r="D35"/>
  <c r="G35"/>
  <c r="M35"/>
  <c r="O13" i="7"/>
  <c r="O15"/>
  <c r="O17"/>
  <c r="O19"/>
  <c r="O21"/>
  <c r="O23"/>
  <c r="O25"/>
  <c r="O27"/>
  <c r="O29"/>
  <c r="O31"/>
  <c r="L33"/>
  <c r="M33"/>
  <c r="N33"/>
  <c r="O33"/>
  <c r="B35"/>
  <c r="C15" s="1"/>
  <c r="D35"/>
  <c r="E13" s="1"/>
  <c r="F35"/>
  <c r="G13" s="1"/>
  <c r="H35"/>
  <c r="I13" s="1"/>
  <c r="K35"/>
  <c r="L35"/>
  <c r="M35"/>
  <c r="N35"/>
  <c r="O35"/>
  <c r="B17" i="10"/>
  <c r="C17"/>
  <c r="B11" i="5"/>
  <c r="B13" s="1"/>
  <c r="C13"/>
  <c r="D13"/>
  <c r="E13"/>
  <c r="F13"/>
  <c r="G13"/>
  <c r="H13"/>
  <c r="I13"/>
  <c r="C18"/>
  <c r="C24" s="1"/>
  <c r="C26" s="1"/>
  <c r="D18"/>
  <c r="E18"/>
  <c r="F18"/>
  <c r="G18"/>
  <c r="H18"/>
  <c r="I18"/>
  <c r="H20"/>
  <c r="B20" s="1"/>
  <c r="I21"/>
  <c r="B21" s="1"/>
  <c r="D24"/>
  <c r="D26" s="1"/>
  <c r="E24"/>
  <c r="E26" s="1"/>
  <c r="F26"/>
  <c r="F29" s="1"/>
  <c r="G24"/>
  <c r="G26" s="1"/>
  <c r="G29" s="1"/>
  <c r="H26"/>
  <c r="I26"/>
  <c r="I45"/>
  <c r="I46" s="1"/>
  <c r="F30" i="9"/>
  <c r="G30"/>
  <c r="H30"/>
  <c r="B26" i="18" l="1"/>
  <c r="B18" i="5"/>
  <c r="B24" s="1"/>
  <c r="E29" i="18"/>
  <c r="D29"/>
  <c r="C29"/>
  <c r="I47"/>
  <c r="T35" i="15"/>
  <c r="G21"/>
  <c r="AB21" s="1"/>
  <c r="W35"/>
  <c r="O15"/>
  <c r="K17"/>
  <c r="O33"/>
  <c r="AB33" s="1"/>
  <c r="O27"/>
  <c r="AB27" s="1"/>
  <c r="K29"/>
  <c r="AB29" s="1"/>
  <c r="AB15"/>
  <c r="AB19"/>
  <c r="AB25"/>
  <c r="AB17"/>
  <c r="AB23"/>
  <c r="AB31"/>
  <c r="K13"/>
  <c r="K35" s="1"/>
  <c r="G33" i="7"/>
  <c r="G31"/>
  <c r="G29"/>
  <c r="G27"/>
  <c r="G25"/>
  <c r="G23"/>
  <c r="G21"/>
  <c r="G19"/>
  <c r="G17"/>
  <c r="G15"/>
  <c r="G35" s="1"/>
  <c r="C33"/>
  <c r="C29"/>
  <c r="C25"/>
  <c r="C21"/>
  <c r="C17"/>
  <c r="C13"/>
  <c r="C31"/>
  <c r="C27"/>
  <c r="C23"/>
  <c r="C19"/>
  <c r="I33" i="6"/>
  <c r="I31"/>
  <c r="I29"/>
  <c r="I27"/>
  <c r="I25"/>
  <c r="I23"/>
  <c r="I21"/>
  <c r="I19"/>
  <c r="I17"/>
  <c r="I15"/>
  <c r="E15" i="4"/>
  <c r="F15" s="1"/>
  <c r="E17"/>
  <c r="F17" s="1"/>
  <c r="E19"/>
  <c r="F19" s="1"/>
  <c r="E21"/>
  <c r="F21" s="1"/>
  <c r="E23"/>
  <c r="F23" s="1"/>
  <c r="E25"/>
  <c r="F25" s="1"/>
  <c r="E27"/>
  <c r="F27" s="1"/>
  <c r="E29"/>
  <c r="F29" s="1"/>
  <c r="E31"/>
  <c r="F31" s="1"/>
  <c r="E33"/>
  <c r="F33" s="1"/>
  <c r="K13"/>
  <c r="K15"/>
  <c r="L15" s="1"/>
  <c r="K17"/>
  <c r="L17" s="1"/>
  <c r="K19"/>
  <c r="L19" s="1"/>
  <c r="K21"/>
  <c r="L21" s="1"/>
  <c r="K23"/>
  <c r="L23" s="1"/>
  <c r="K25"/>
  <c r="L25" s="1"/>
  <c r="K27"/>
  <c r="L27" s="1"/>
  <c r="K29"/>
  <c r="L29" s="1"/>
  <c r="K31"/>
  <c r="L31" s="1"/>
  <c r="L33"/>
  <c r="D29" i="5"/>
  <c r="J13" i="7"/>
  <c r="I23" i="9"/>
  <c r="G15" i="6"/>
  <c r="G35" s="1"/>
  <c r="E13"/>
  <c r="I27" i="9"/>
  <c r="I19"/>
  <c r="I15"/>
  <c r="I11"/>
  <c r="I47" i="5"/>
  <c r="I29" i="9"/>
  <c r="I25"/>
  <c r="I21"/>
  <c r="I17"/>
  <c r="I13"/>
  <c r="E29" i="5"/>
  <c r="C29"/>
  <c r="I33" i="7"/>
  <c r="E33"/>
  <c r="I31"/>
  <c r="E31"/>
  <c r="I29"/>
  <c r="E29"/>
  <c r="I27"/>
  <c r="E27"/>
  <c r="I25"/>
  <c r="E25"/>
  <c r="I23"/>
  <c r="E23"/>
  <c r="I21"/>
  <c r="E21"/>
  <c r="I19"/>
  <c r="E19"/>
  <c r="I17"/>
  <c r="E17"/>
  <c r="I15"/>
  <c r="E15"/>
  <c r="E35" s="1"/>
  <c r="E33" i="6"/>
  <c r="J33" s="1"/>
  <c r="E31"/>
  <c r="J31" s="1"/>
  <c r="E29"/>
  <c r="J29" s="1"/>
  <c r="E27"/>
  <c r="J27" s="1"/>
  <c r="E25"/>
  <c r="J25" s="1"/>
  <c r="E23"/>
  <c r="E21"/>
  <c r="E19"/>
  <c r="E17"/>
  <c r="J17" s="1"/>
  <c r="AB13" i="15" l="1"/>
  <c r="J21" i="6"/>
  <c r="J19"/>
  <c r="J23"/>
  <c r="AE33" i="15"/>
  <c r="AF33" s="1"/>
  <c r="AE31"/>
  <c r="AF31" s="1"/>
  <c r="AE29"/>
  <c r="AF29" s="1"/>
  <c r="AE27"/>
  <c r="AF27" s="1"/>
  <c r="AE25"/>
  <c r="AF25" s="1"/>
  <c r="AE23"/>
  <c r="AF23" s="1"/>
  <c r="G35"/>
  <c r="AE21"/>
  <c r="AF21" s="1"/>
  <c r="AE19"/>
  <c r="AF19" s="1"/>
  <c r="AE17"/>
  <c r="AF17" s="1"/>
  <c r="AE15"/>
  <c r="AF15" s="1"/>
  <c r="AE13"/>
  <c r="O35"/>
  <c r="J15" i="7"/>
  <c r="J17"/>
  <c r="J19"/>
  <c r="J21"/>
  <c r="J23"/>
  <c r="J25"/>
  <c r="J27"/>
  <c r="J29"/>
  <c r="J31"/>
  <c r="C35"/>
  <c r="I35" i="6"/>
  <c r="B25" i="5"/>
  <c r="J13" i="6"/>
  <c r="E35"/>
  <c r="N13" i="4"/>
  <c r="N15"/>
  <c r="O15" s="1"/>
  <c r="N17"/>
  <c r="O17" s="1"/>
  <c r="N19"/>
  <c r="O19" s="1"/>
  <c r="N21"/>
  <c r="O21" s="1"/>
  <c r="N23"/>
  <c r="O23" s="1"/>
  <c r="N25"/>
  <c r="O25" s="1"/>
  <c r="N27"/>
  <c r="O27" s="1"/>
  <c r="N29"/>
  <c r="O29" s="1"/>
  <c r="N31"/>
  <c r="O31" s="1"/>
  <c r="O33"/>
  <c r="H13"/>
  <c r="H15"/>
  <c r="I15" s="1"/>
  <c r="H17"/>
  <c r="I17" s="1"/>
  <c r="H19"/>
  <c r="I19" s="1"/>
  <c r="H21"/>
  <c r="I21" s="1"/>
  <c r="W21" s="1"/>
  <c r="H23"/>
  <c r="I23" s="1"/>
  <c r="H25"/>
  <c r="I25" s="1"/>
  <c r="H27"/>
  <c r="I27" s="1"/>
  <c r="H29"/>
  <c r="I29" s="1"/>
  <c r="H31"/>
  <c r="I31" s="1"/>
  <c r="I33"/>
  <c r="F13"/>
  <c r="E35"/>
  <c r="J15" i="6"/>
  <c r="L13" i="4"/>
  <c r="L35" s="1"/>
  <c r="K35"/>
  <c r="W27"/>
  <c r="J33" i="7"/>
  <c r="J35" s="1"/>
  <c r="I35"/>
  <c r="W29" i="4" l="1"/>
  <c r="K17" i="6"/>
  <c r="L17" s="1"/>
  <c r="B26" i="5"/>
  <c r="AB35" i="15"/>
  <c r="W19" i="4"/>
  <c r="W31"/>
  <c r="W23"/>
  <c r="W15"/>
  <c r="W25"/>
  <c r="W17"/>
  <c r="W33"/>
  <c r="H35"/>
  <c r="I13"/>
  <c r="I35" s="1"/>
  <c r="F35"/>
  <c r="N35"/>
  <c r="O13"/>
  <c r="O35" s="1"/>
  <c r="J35" i="6"/>
  <c r="K33" l="1"/>
  <c r="L33" s="1"/>
  <c r="P33" i="4" s="1"/>
  <c r="K15" i="6"/>
  <c r="L15" s="1"/>
  <c r="P15" i="4" s="1"/>
  <c r="P17"/>
  <c r="K25" i="6"/>
  <c r="L25" s="1"/>
  <c r="P25" i="4" s="1"/>
  <c r="K23" i="6"/>
  <c r="L23" s="1"/>
  <c r="P23" i="4" s="1"/>
  <c r="K13" i="6"/>
  <c r="L13" s="1"/>
  <c r="K21"/>
  <c r="L21" s="1"/>
  <c r="P21" i="4" s="1"/>
  <c r="K29" i="6"/>
  <c r="L29" s="1"/>
  <c r="P29" i="4" s="1"/>
  <c r="K19" i="6"/>
  <c r="L19" s="1"/>
  <c r="P19" i="4" s="1"/>
  <c r="K31" i="6"/>
  <c r="L31" s="1"/>
  <c r="P31" i="4" s="1"/>
  <c r="K27" i="6"/>
  <c r="L27" s="1"/>
  <c r="P27" i="4" s="1"/>
  <c r="AE35" i="15"/>
  <c r="AF35" s="1"/>
  <c r="AF13"/>
  <c r="W13" i="4"/>
  <c r="W35" s="1"/>
  <c r="K35" i="6" l="1"/>
  <c r="L35"/>
  <c r="P13" i="4"/>
  <c r="M13" i="6" l="1"/>
  <c r="M33"/>
  <c r="P35" i="4"/>
  <c r="M27" i="6"/>
  <c r="Q27" i="4" s="1"/>
  <c r="M19" i="6"/>
  <c r="Q19" i="4" s="1"/>
  <c r="M21" i="6"/>
  <c r="Q21" i="4" s="1"/>
  <c r="M29" i="6"/>
  <c r="Q29" i="4" s="1"/>
  <c r="M23" i="6"/>
  <c r="Q23" i="4" s="1"/>
  <c r="M31" i="6"/>
  <c r="Q31" i="4" s="1"/>
  <c r="M17" i="6"/>
  <c r="Q17" i="4" s="1"/>
  <c r="M25" i="6"/>
  <c r="Q25" i="4" s="1"/>
  <c r="M15" i="6"/>
  <c r="Q15" i="4" s="1"/>
  <c r="N13" i="6" l="1"/>
  <c r="Q13" i="4"/>
  <c r="R13" s="1"/>
  <c r="U13" s="1"/>
  <c r="R15"/>
  <c r="U15" s="1"/>
  <c r="V15" s="1"/>
  <c r="N15" i="6"/>
  <c r="P15" s="1"/>
  <c r="Q15" s="1"/>
  <c r="R17" i="4"/>
  <c r="U17" s="1"/>
  <c r="V17" s="1"/>
  <c r="N17" i="6"/>
  <c r="P17" s="1"/>
  <c r="Q17" s="1"/>
  <c r="R23" i="4"/>
  <c r="U23" s="1"/>
  <c r="V23" s="1"/>
  <c r="N23" i="6"/>
  <c r="P23" s="1"/>
  <c r="Q23" s="1"/>
  <c r="R29" i="4"/>
  <c r="U29" s="1"/>
  <c r="V29" s="1"/>
  <c r="N29" i="6"/>
  <c r="P29" s="1"/>
  <c r="Q29" s="1"/>
  <c r="R19" i="4"/>
  <c r="U19" s="1"/>
  <c r="V19" s="1"/>
  <c r="N19" i="6"/>
  <c r="P19" s="1"/>
  <c r="Q19" s="1"/>
  <c r="P13"/>
  <c r="M35"/>
  <c r="R25" i="4"/>
  <c r="U25" s="1"/>
  <c r="V25" s="1"/>
  <c r="N25" i="6"/>
  <c r="P25" s="1"/>
  <c r="Q25" s="1"/>
  <c r="R31" i="4"/>
  <c r="U31" s="1"/>
  <c r="V31" s="1"/>
  <c r="N31" i="6"/>
  <c r="P31" s="1"/>
  <c r="Q31" s="1"/>
  <c r="Q33" i="4"/>
  <c r="R33" s="1"/>
  <c r="U33" s="1"/>
  <c r="V33" s="1"/>
  <c r="N33" i="6"/>
  <c r="P33" s="1"/>
  <c r="Q33" s="1"/>
  <c r="R21" i="4"/>
  <c r="U21" s="1"/>
  <c r="V21" s="1"/>
  <c r="N21" i="6"/>
  <c r="P21" s="1"/>
  <c r="Q21" s="1"/>
  <c r="R27" i="4"/>
  <c r="U27" s="1"/>
  <c r="V27" s="1"/>
  <c r="N27" i="6"/>
  <c r="P27" s="1"/>
  <c r="Q27" s="1"/>
  <c r="Q35" i="4" l="1"/>
  <c r="Q13" i="6"/>
  <c r="P35"/>
  <c r="Q35" s="1"/>
  <c r="R35" i="4"/>
  <c r="R37" s="1"/>
  <c r="V13"/>
  <c r="U35"/>
  <c r="V35" s="1"/>
  <c r="N35" i="6"/>
</calcChain>
</file>

<file path=xl/sharedStrings.xml><?xml version="1.0" encoding="utf-8"?>
<sst xmlns="http://schemas.openxmlformats.org/spreadsheetml/2006/main" count="642" uniqueCount="315">
  <si>
    <t/>
  </si>
  <si>
    <t xml:space="preserve"> </t>
  </si>
  <si>
    <t xml:space="preserve">    </t>
  </si>
  <si>
    <t xml:space="preserve">        35% Weight</t>
  </si>
  <si>
    <t xml:space="preserve">    60+ Population</t>
  </si>
  <si>
    <t>%</t>
  </si>
  <si>
    <t>*</t>
  </si>
  <si>
    <t>**</t>
  </si>
  <si>
    <t>1</t>
  </si>
  <si>
    <t>10</t>
  </si>
  <si>
    <t>11</t>
  </si>
  <si>
    <t>2</t>
  </si>
  <si>
    <t>25% Weight</t>
  </si>
  <si>
    <t>3</t>
  </si>
  <si>
    <t>4</t>
  </si>
  <si>
    <t>5</t>
  </si>
  <si>
    <t>50% Weight</t>
  </si>
  <si>
    <t>6</t>
  </si>
  <si>
    <t>60+</t>
  </si>
  <si>
    <t>60+ Low Income</t>
  </si>
  <si>
    <t>60+ Near Low Income</t>
  </si>
  <si>
    <t>7</t>
  </si>
  <si>
    <t>7/14/88</t>
  </si>
  <si>
    <t>8</t>
  </si>
  <si>
    <t>9</t>
  </si>
  <si>
    <t>Admin</t>
  </si>
  <si>
    <t>All Factors</t>
  </si>
  <si>
    <t>Alloca</t>
  </si>
  <si>
    <t>Allocated</t>
  </si>
  <si>
    <t>Allocation</t>
  </si>
  <si>
    <t>Amount</t>
  </si>
  <si>
    <t>Amount over base=</t>
  </si>
  <si>
    <t>Amount*</t>
  </si>
  <si>
    <t>Amt (incl GR)</t>
  </si>
  <si>
    <t>AREA AGENCY ADMINISTRATION ALLOCATION</t>
  </si>
  <si>
    <t>Base equals 7% of OAA services with a minimum of $230,000 per PSA.</t>
  </si>
  <si>
    <t>Base**</t>
  </si>
  <si>
    <t>Based on Admin</t>
  </si>
  <si>
    <t>Caregiver</t>
  </si>
  <si>
    <t>CCE Svcs.</t>
  </si>
  <si>
    <t>Congregate</t>
  </si>
  <si>
    <t>Contract</t>
  </si>
  <si>
    <t>Counties</t>
  </si>
  <si>
    <t>Diff</t>
  </si>
  <si>
    <t>Diff.</t>
  </si>
  <si>
    <t>Factor</t>
  </si>
  <si>
    <t>Factors</t>
  </si>
  <si>
    <t>Fed + GR</t>
  </si>
  <si>
    <t>GR</t>
  </si>
  <si>
    <t>GR Alloca Based</t>
  </si>
  <si>
    <t>Home Del</t>
  </si>
  <si>
    <t>In PSA</t>
  </si>
  <si>
    <t>Increase</t>
  </si>
  <si>
    <t>Meals</t>
  </si>
  <si>
    <t>Minority - 15% Weight</t>
  </si>
  <si>
    <t>Nat'l Family</t>
  </si>
  <si>
    <t>No. of</t>
  </si>
  <si>
    <t xml:space="preserve">Note:  No setaside in C1 ($130,256) for Seminole Indian Tribe beginning with 2000 grant award.  </t>
  </si>
  <si>
    <t>Number</t>
  </si>
  <si>
    <t>OAA</t>
  </si>
  <si>
    <t>oaa services</t>
  </si>
  <si>
    <t>OAA--Adm</t>
  </si>
  <si>
    <t>Over Base</t>
  </si>
  <si>
    <t>Per AAA</t>
  </si>
  <si>
    <t>PSA</t>
  </si>
  <si>
    <t>Services</t>
  </si>
  <si>
    <t xml:space="preserve">SOURCES:  </t>
  </si>
  <si>
    <t>Supportive</t>
  </si>
  <si>
    <t>Title C 1</t>
  </si>
  <si>
    <t>Title C 2</t>
  </si>
  <si>
    <t>Title III B</t>
  </si>
  <si>
    <t>Title IIIE</t>
  </si>
  <si>
    <t>Total</t>
  </si>
  <si>
    <t>% Increase</t>
  </si>
  <si>
    <t>(Decrease)</t>
  </si>
  <si>
    <t xml:space="preserve">Total </t>
  </si>
  <si>
    <t>From</t>
  </si>
  <si>
    <t>Formula</t>
  </si>
  <si>
    <t xml:space="preserve">By </t>
  </si>
  <si>
    <t>Title IIIB</t>
  </si>
  <si>
    <t>Title IIIC2</t>
  </si>
  <si>
    <t>Home Del'd</t>
  </si>
  <si>
    <t>Title III E</t>
  </si>
  <si>
    <t>Family</t>
  </si>
  <si>
    <t xml:space="preserve">          Base Funding is 2003 Service Funding Level</t>
  </si>
  <si>
    <t>Hold Harmless</t>
  </si>
  <si>
    <t>for 2003</t>
  </si>
  <si>
    <t xml:space="preserve">                          Services Allocated Based on Sevice Level of Funding for the 2003 Grant</t>
  </si>
  <si>
    <t>Title IIIC1</t>
  </si>
  <si>
    <t xml:space="preserve">          FLORIDA'S ALLOTMENTS UNDER THE OLDER AMERICANS ACT </t>
  </si>
  <si>
    <t>TOTAL</t>
  </si>
  <si>
    <t>III-B</t>
  </si>
  <si>
    <t>IIIC-1</t>
  </si>
  <si>
    <t>IIIC-2</t>
  </si>
  <si>
    <t>III-D</t>
  </si>
  <si>
    <t>III-E</t>
  </si>
  <si>
    <t>VII</t>
  </si>
  <si>
    <t>AMOUNT</t>
  </si>
  <si>
    <t xml:space="preserve">SUPPORTIVE </t>
  </si>
  <si>
    <t>CONGREGATE</t>
  </si>
  <si>
    <t>HOME DEL</t>
  </si>
  <si>
    <t>PREVENTIVE</t>
  </si>
  <si>
    <t xml:space="preserve">OMBUDSMAN </t>
  </si>
  <si>
    <t>ELDER ABUSE</t>
  </si>
  <si>
    <t xml:space="preserve">     ALLOTMENT/MODIFICATION</t>
  </si>
  <si>
    <t>III/VII</t>
  </si>
  <si>
    <t>SERVICES</t>
  </si>
  <si>
    <t>MEALS</t>
  </si>
  <si>
    <t>HEALTH</t>
  </si>
  <si>
    <t>CAREGIVER</t>
  </si>
  <si>
    <t>ACTIVITY</t>
  </si>
  <si>
    <t>PREVENTION</t>
  </si>
  <si>
    <t>Difference</t>
  </si>
  <si>
    <t xml:space="preserve">  Long Term Care Ombudsman Program</t>
  </si>
  <si>
    <t xml:space="preserve">  Elder Abuse Prevention</t>
  </si>
  <si>
    <t>AAA's - Balance of Grant Award</t>
  </si>
  <si>
    <t>AAA Administration (See assumption #3.)</t>
  </si>
  <si>
    <t>Elder Abuse Prevention</t>
  </si>
  <si>
    <t>Contract Number</t>
  </si>
  <si>
    <t>Contract Amount</t>
  </si>
  <si>
    <t>Assumptions for Above Allocation:</t>
  </si>
  <si>
    <t xml:space="preserve">  1.  Ombudsman Allocation from IIIB must be same as 2000 ($404,660)</t>
  </si>
  <si>
    <t xml:space="preserve">  3.  Area Agency Administration computed using 10% of the original Grant award balance for IIIB/IIIC1/IIIC2/IIIE (IIID Amt included in total)</t>
  </si>
  <si>
    <t>Total PSA Contracts</t>
  </si>
  <si>
    <t xml:space="preserve">Other Costs </t>
  </si>
  <si>
    <t>Total Elder Abuse Prevention</t>
  </si>
  <si>
    <t>65+ With 2 or more disabilities</t>
  </si>
  <si>
    <t>including self-care limita - 15% weight</t>
  </si>
  <si>
    <t>PSA  FORMULA SHARE</t>
  </si>
  <si>
    <t>Medication Management</t>
  </si>
  <si>
    <t>Health &amp; Wellness</t>
  </si>
  <si>
    <t>PSA  Pop</t>
  </si>
  <si>
    <t>GRANT AWARD: 2010 OLDER AMERICAN'S ACT ALLOCATION</t>
  </si>
  <si>
    <t>Florida's 2010 Allotments (Original Award)</t>
  </si>
  <si>
    <t>County</t>
  </si>
  <si>
    <t>Population 60+ with Income Below the Poverty Level</t>
  </si>
  <si>
    <t>Minority Population 60+ with Income Below 125% of the Poverty Level</t>
  </si>
  <si>
    <t>FLORIDA</t>
  </si>
  <si>
    <t>Escambia</t>
  </si>
  <si>
    <t>Okaloosa</t>
  </si>
  <si>
    <t>Santa Rosa</t>
  </si>
  <si>
    <t>Walton</t>
  </si>
  <si>
    <t>PSA 1</t>
  </si>
  <si>
    <t>Bay</t>
  </si>
  <si>
    <t>Calhoun</t>
  </si>
  <si>
    <t>Franklin</t>
  </si>
  <si>
    <t>Gadsden</t>
  </si>
  <si>
    <t>Gulf</t>
  </si>
  <si>
    <t>Holmes</t>
  </si>
  <si>
    <t>Jackson</t>
  </si>
  <si>
    <t>Jefferson</t>
  </si>
  <si>
    <t>Leon</t>
  </si>
  <si>
    <t>Liberty</t>
  </si>
  <si>
    <t>Madison</t>
  </si>
  <si>
    <t>Taylor</t>
  </si>
  <si>
    <t>Wakulla</t>
  </si>
  <si>
    <t>Washington</t>
  </si>
  <si>
    <t>PSA2</t>
  </si>
  <si>
    <t>Alachua</t>
  </si>
  <si>
    <t>Bradford</t>
  </si>
  <si>
    <t>Citrus</t>
  </si>
  <si>
    <t>Columbia</t>
  </si>
  <si>
    <t>Dixie</t>
  </si>
  <si>
    <t>Gilchrist</t>
  </si>
  <si>
    <t>Hamilton</t>
  </si>
  <si>
    <t>Hernando</t>
  </si>
  <si>
    <t>Lafayette</t>
  </si>
  <si>
    <t>Lake</t>
  </si>
  <si>
    <t>Levy</t>
  </si>
  <si>
    <t>Marion</t>
  </si>
  <si>
    <t>Putnam</t>
  </si>
  <si>
    <t>Sumter</t>
  </si>
  <si>
    <t>Suwannee</t>
  </si>
  <si>
    <t>Union</t>
  </si>
  <si>
    <t>PSA 3</t>
  </si>
  <si>
    <t>Baker</t>
  </si>
  <si>
    <t>Clay</t>
  </si>
  <si>
    <t>Duval</t>
  </si>
  <si>
    <t>Flagler</t>
  </si>
  <si>
    <t>Nassau</t>
  </si>
  <si>
    <t>St. Johns</t>
  </si>
  <si>
    <t>Volusia</t>
  </si>
  <si>
    <t>PSA 4</t>
  </si>
  <si>
    <t>Pasco</t>
  </si>
  <si>
    <t>Pinellas</t>
  </si>
  <si>
    <t>PSA 5</t>
  </si>
  <si>
    <t>Hardee</t>
  </si>
  <si>
    <t>Highlands</t>
  </si>
  <si>
    <t>Hillsborough</t>
  </si>
  <si>
    <t>Manatee</t>
  </si>
  <si>
    <t>Polk</t>
  </si>
  <si>
    <t>PSA6</t>
  </si>
  <si>
    <t>Brevard</t>
  </si>
  <si>
    <t>Orange</t>
  </si>
  <si>
    <t>Osceola</t>
  </si>
  <si>
    <t>Seminole</t>
  </si>
  <si>
    <t>PSA7</t>
  </si>
  <si>
    <t>Charlotte</t>
  </si>
  <si>
    <t>Collier</t>
  </si>
  <si>
    <t>De Soto</t>
  </si>
  <si>
    <t>Glades</t>
  </si>
  <si>
    <t>Hendry</t>
  </si>
  <si>
    <t>Lee</t>
  </si>
  <si>
    <t>Sarasota</t>
  </si>
  <si>
    <t>PSA8</t>
  </si>
  <si>
    <t>Indian River</t>
  </si>
  <si>
    <t>Martin</t>
  </si>
  <si>
    <t>Okeechobee</t>
  </si>
  <si>
    <t>Palm Beach</t>
  </si>
  <si>
    <t>St. Lucie</t>
  </si>
  <si>
    <t>PSA9</t>
  </si>
  <si>
    <t>Broward</t>
  </si>
  <si>
    <t>PSA10</t>
  </si>
  <si>
    <t>Miami-Dade</t>
  </si>
  <si>
    <t>Monroe</t>
  </si>
  <si>
    <t>PSA11</t>
  </si>
  <si>
    <t>Rounded Figures</t>
  </si>
  <si>
    <t>AAA Service Allocation - 2010</t>
  </si>
  <si>
    <t>OAA 2010</t>
  </si>
  <si>
    <t>Total 2010</t>
  </si>
  <si>
    <t>2010 Svcs</t>
  </si>
  <si>
    <t xml:space="preserve">                     2010 Older Americans Act Grant</t>
  </si>
  <si>
    <t xml:space="preserve">  4.  For IIID, Minimum amount for medication management is $407,431 according to AOA Award</t>
  </si>
  <si>
    <t>Original Award with Carry Forwards, Transfers Between Titles</t>
  </si>
  <si>
    <t>TITLE III B</t>
  </si>
  <si>
    <t>TITLE III  C I</t>
  </si>
  <si>
    <t>TITLE III  C II</t>
  </si>
  <si>
    <t>TITLE III  D</t>
  </si>
  <si>
    <t>TITLE III  E</t>
  </si>
  <si>
    <t>Admin Allocation</t>
  </si>
  <si>
    <t>Health &amp;</t>
  </si>
  <si>
    <t>Medication</t>
  </si>
  <si>
    <t>Transfers</t>
  </si>
  <si>
    <t>Wellness</t>
  </si>
  <si>
    <t>Management</t>
  </si>
  <si>
    <t>D1</t>
  </si>
  <si>
    <t>D2</t>
  </si>
  <si>
    <t>Title III D</t>
  </si>
  <si>
    <t xml:space="preserve">between </t>
  </si>
  <si>
    <t>Preventive</t>
  </si>
  <si>
    <t>Forwards</t>
  </si>
  <si>
    <t>Titles</t>
  </si>
  <si>
    <t>Health</t>
  </si>
  <si>
    <t>2010 Formula</t>
  </si>
  <si>
    <t xml:space="preserve">  5.  Contract Period:  January 1, 2010 through December 31, 2010</t>
  </si>
  <si>
    <t>Title VII, Contract Period 1/1/10-12/31/10</t>
  </si>
  <si>
    <t>Grant GEA10</t>
  </si>
  <si>
    <t>A7010</t>
  </si>
  <si>
    <t>B7010</t>
  </si>
  <si>
    <t>C7010</t>
  </si>
  <si>
    <t>D7010</t>
  </si>
  <si>
    <t>E7010</t>
  </si>
  <si>
    <t>F7010</t>
  </si>
  <si>
    <t>G7010</t>
  </si>
  <si>
    <t>H7010</t>
  </si>
  <si>
    <t>I7010</t>
  </si>
  <si>
    <t>J7010</t>
  </si>
  <si>
    <t>K7010</t>
  </si>
  <si>
    <t xml:space="preserve">  2.  State Administration computed using 5% of the original Grant award balance for total IIIB/IIIC1/IIIC2/IIID/IIIE ($88,400,324 x .05 = $4,420,016</t>
  </si>
  <si>
    <t>GRANT AWARD: 2011 OLDER AMERICAN'S ACT ALLOCATION</t>
  </si>
  <si>
    <t>Grant Award 2011/03 (Title III) and 2011/03 (Title VII)</t>
  </si>
  <si>
    <t>Florida's 2011 Allotments (Continuting Res)</t>
  </si>
  <si>
    <t>AAA Service Allocation - 2011</t>
  </si>
  <si>
    <t xml:space="preserve">  5.  Contract Period:  January 1, 2011 through December 31, 2011</t>
  </si>
  <si>
    <t xml:space="preserve">  2.  State Administration computed using 5% of the original Grant award balance for total IIIB/IIIC1/IIIC2/IIID/IIIE ($46,159,155 x .05 = $2,266,812)</t>
  </si>
  <si>
    <t>Title VII, Contract Period 1/1/11-12/31/11</t>
  </si>
  <si>
    <t>Grant GEA11</t>
  </si>
  <si>
    <t>A7011</t>
  </si>
  <si>
    <t>B7011</t>
  </si>
  <si>
    <t>C7011</t>
  </si>
  <si>
    <t>D7011</t>
  </si>
  <si>
    <t>E7011</t>
  </si>
  <si>
    <t>F7011</t>
  </si>
  <si>
    <t>G7011</t>
  </si>
  <si>
    <t>H7011</t>
  </si>
  <si>
    <t>I7011</t>
  </si>
  <si>
    <t>J7011</t>
  </si>
  <si>
    <t>K7011</t>
  </si>
  <si>
    <t>State Agency Administration-5% 2011</t>
  </si>
  <si>
    <t>Grant Award 2011/04 (Title III) and 2011/04 (Title VII)</t>
  </si>
  <si>
    <t>Florida's 2011 Allotments (June 2011)</t>
  </si>
  <si>
    <t xml:space="preserve">  2.  State Administration computed using 5% of the original Grant award balance for total IIIB/IIIC1/IIIC2/IIID/IIIE ($87,098,216 x .05 = $4,354,911)</t>
  </si>
  <si>
    <t xml:space="preserve">  4.  For IIID, Minimum amount for medication management is $404,616 according to AOA Award</t>
  </si>
  <si>
    <t>Projected for 2011  60+ Population35% Weight Number</t>
  </si>
  <si>
    <t>Projected for 2011 60+ Low Income  35% Weight Number</t>
  </si>
  <si>
    <t>Projected for 2011 60+ Near Low Income Minority - 15% Weight Number</t>
  </si>
  <si>
    <t>Projected for 2011 65+ With 2 or more disa including self-care limitation 15% weight Number</t>
  </si>
  <si>
    <r>
      <rPr>
        <b/>
        <sz val="10"/>
        <rFont val="Calibri"/>
        <family val="2"/>
      </rPr>
      <t xml:space="preserve">60+ </t>
    </r>
    <r>
      <rPr>
        <sz val="10"/>
        <rFont val="Calibri"/>
        <family val="2"/>
      </rPr>
      <t xml:space="preserve">: Florida Legislature, Office of Economic and Demographic Research.
</t>
    </r>
    <r>
      <rPr>
        <b/>
        <sz val="10"/>
        <rFont val="Calibri"/>
        <family val="2"/>
      </rPr>
      <t>Population 60+ with Income Below the Poverty Level</t>
    </r>
    <r>
      <rPr>
        <sz val="10"/>
        <rFont val="Calibri"/>
        <family val="2"/>
      </rPr>
      <t xml:space="preserve">: DOEA calculation based on 1) Florida population data from Florida Legislature, Office of Economic and Demographic Research projections and 2) data from American Community Survey (2005-2009)
</t>
    </r>
    <r>
      <rPr>
        <b/>
        <sz val="10"/>
        <rFont val="Calibri"/>
        <family val="2"/>
      </rPr>
      <t>Minority Population 60+ with Income Below 125% of the Poverty Level</t>
    </r>
    <r>
      <rPr>
        <sz val="10"/>
        <rFont val="Calibri"/>
        <family val="2"/>
      </rPr>
      <t xml:space="preserve">: DOEA calculation based on 1) Florida population data Florida Legislature, Office of Economic and Demographic Research and 2) 2006 data from BEBR (Bureau of Economic and Business Research)
</t>
    </r>
    <r>
      <rPr>
        <b/>
        <sz val="10"/>
        <rFont val="Calibri"/>
        <family val="2"/>
      </rPr>
      <t>Population 65+ with 2 or more types of disabilities including self-care disability</t>
    </r>
    <r>
      <rPr>
        <sz val="10"/>
        <rFont val="Calibri"/>
        <family val="2"/>
      </rPr>
      <t xml:space="preserve">:DOEA calculation based on 1) Florida population data from Florida Legislature, Office of Economic and Demographic Research and 2) U.S. Census Bureau 2000 data
</t>
    </r>
  </si>
  <si>
    <t>OAA 2011</t>
  </si>
  <si>
    <t>2011 FACTORS FOR OAA INTRASTATE FORMULA</t>
  </si>
  <si>
    <t xml:space="preserve"> from Planning and Evaluation Feb 2011</t>
  </si>
  <si>
    <t xml:space="preserve">Population 65+ with 2 or more types of disabilities including self-care disability </t>
  </si>
  <si>
    <t xml:space="preserve">Population 65+ with 2 or more types of disabilities </t>
  </si>
  <si>
    <t>Sources</t>
  </si>
  <si>
    <t>2011 Formula</t>
  </si>
  <si>
    <t>FY 10-11</t>
  </si>
  <si>
    <t>Allocation for CCE for 2010-11</t>
  </si>
  <si>
    <t>Total 2011</t>
  </si>
  <si>
    <t>2011 Fed</t>
  </si>
  <si>
    <t>Fed Amt. 2011</t>
  </si>
  <si>
    <t>2011 Grant Award</t>
  </si>
  <si>
    <t xml:space="preserve">   2011 OLDER AMERICANS ACT ALLOCATION</t>
  </si>
  <si>
    <t xml:space="preserve">      Using 2011 Population Data (2000 Census)</t>
  </si>
  <si>
    <t>Projected for 2011</t>
  </si>
  <si>
    <t xml:space="preserve">      2011 OLDER AMERICANS ACT TITLE III</t>
  </si>
  <si>
    <t>Formula Factors Using 2011 Projected Population (Based on 2000 Census)</t>
  </si>
  <si>
    <t>2011 Svcs</t>
  </si>
  <si>
    <t>2010 Carry</t>
  </si>
  <si>
    <t>2011 OAA</t>
  </si>
  <si>
    <t>2011 Allocation</t>
  </si>
  <si>
    <t xml:space="preserve">Amt (incl GR </t>
  </si>
  <si>
    <t>and III D )</t>
  </si>
  <si>
    <t>w/CF and Tran</t>
  </si>
  <si>
    <t xml:space="preserve">  Balance Allocated Using 2011 Population Projections (2000 Census)</t>
  </si>
  <si>
    <t xml:space="preserve">                     2011 Older Americans Act Grant</t>
  </si>
</sst>
</file>

<file path=xl/styles.xml><?xml version="1.0" encoding="utf-8"?>
<styleSheet xmlns="http://schemas.openxmlformats.org/spreadsheetml/2006/main">
  <numFmts count="12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#,##0.000000"/>
    <numFmt numFmtId="166" formatCode="0.0000000%"/>
    <numFmt numFmtId="167" formatCode="#,##0.0000"/>
    <numFmt numFmtId="168" formatCode="_(* #,##0_);_(* \(#,##0\);_(* &quot;-&quot;??_);_(@_)"/>
    <numFmt numFmtId="169" formatCode="&quot;$&quot;#,##0"/>
    <numFmt numFmtId="170" formatCode="\$#,##0_);&quot;($&quot;#,##0\)"/>
    <numFmt numFmtId="171" formatCode="\$#,##0.00_);&quot;($&quot;#,##0.00\)"/>
  </numFmts>
  <fonts count="25">
    <font>
      <sz val="12"/>
      <name val="Arial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11"/>
      <name val="돋움"/>
      <family val="2"/>
    </font>
    <font>
      <b/>
      <sz val="11"/>
      <name val="돋움"/>
      <family val="2"/>
    </font>
    <font>
      <b/>
      <sz val="11"/>
      <name val="돋움"/>
    </font>
    <font>
      <b/>
      <sz val="11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  <scheme val="minor"/>
    </font>
    <font>
      <sz val="12"/>
      <color indexed="8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0"/>
      <name val="Arial"/>
    </font>
    <font>
      <b/>
      <sz val="1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/>
    </fill>
    <fill>
      <patternFill patternType="solid">
        <fgColor indexed="43"/>
        <bgColor indexed="9"/>
      </patternFill>
    </fill>
    <fill>
      <patternFill patternType="solid">
        <fgColor indexed="41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rgb="FFFFFF00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medium">
        <color indexed="64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thin">
        <color indexed="9"/>
      </left>
      <right style="medium">
        <color indexed="64"/>
      </right>
      <top style="medium">
        <color indexed="64"/>
      </top>
      <bottom style="thin">
        <color indexed="9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9"/>
      </left>
      <right/>
      <top style="thin">
        <color indexed="9"/>
      </top>
      <bottom style="medium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/>
      <diagonal/>
    </border>
    <border diagonalDown="1">
      <left/>
      <right style="thick">
        <color indexed="64"/>
      </right>
      <top/>
      <bottom style="medium">
        <color indexed="64"/>
      </bottom>
      <diagonal style="thin">
        <color indexed="9"/>
      </diagonal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2" fillId="0" borderId="0"/>
    <xf numFmtId="0" fontId="1" fillId="0" borderId="0"/>
    <xf numFmtId="0" fontId="4" fillId="0" borderId="0"/>
    <xf numFmtId="44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3" fontId="23" fillId="0" borderId="0" applyFont="0" applyFill="0" applyBorder="0" applyAlignment="0" applyProtection="0"/>
    <xf numFmtId="0" fontId="4" fillId="0" borderId="0"/>
    <xf numFmtId="0" fontId="4" fillId="0" borderId="0"/>
  </cellStyleXfs>
  <cellXfs count="468">
    <xf numFmtId="0" fontId="0" fillId="2" borderId="0" xfId="0" applyFill="1"/>
    <xf numFmtId="3" fontId="0" fillId="2" borderId="0" xfId="0" applyNumberFormat="1" applyFill="1"/>
    <xf numFmtId="5" fontId="0" fillId="2" borderId="0" xfId="0" applyNumberFormat="1" applyFill="1"/>
    <xf numFmtId="10" fontId="0" fillId="2" borderId="0" xfId="0" applyNumberFormat="1" applyFill="1"/>
    <xf numFmtId="22" fontId="0" fillId="2" borderId="0" xfId="0" applyNumberFormat="1" applyFill="1"/>
    <xf numFmtId="0" fontId="2" fillId="2" borderId="0" xfId="0" applyFont="1" applyFill="1"/>
    <xf numFmtId="0" fontId="3" fillId="2" borderId="0" xfId="0" applyFont="1" applyFill="1"/>
    <xf numFmtId="165" fontId="0" fillId="2" borderId="1" xfId="0" applyNumberFormat="1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0" xfId="0" applyFill="1" applyAlignment="1">
      <alignment horizontal="center"/>
    </xf>
    <xf numFmtId="3" fontId="0" fillId="2" borderId="1" xfId="0" applyNumberFormat="1" applyFill="1" applyBorder="1"/>
    <xf numFmtId="5" fontId="0" fillId="2" borderId="1" xfId="0" applyNumberFormat="1" applyFill="1" applyBorder="1"/>
    <xf numFmtId="5" fontId="0" fillId="2" borderId="4" xfId="0" applyNumberFormat="1" applyFill="1" applyBorder="1"/>
    <xf numFmtId="0" fontId="0" fillId="2" borderId="1" xfId="0" applyFill="1" applyBorder="1"/>
    <xf numFmtId="5" fontId="0" fillId="2" borderId="5" xfId="0" applyNumberFormat="1" applyFill="1" applyBorder="1"/>
    <xf numFmtId="5" fontId="0" fillId="2" borderId="6" xfId="0" applyNumberFormat="1" applyFill="1" applyBorder="1"/>
    <xf numFmtId="5" fontId="0" fillId="2" borderId="7" xfId="0" applyNumberFormat="1" applyFill="1" applyBorder="1"/>
    <xf numFmtId="5" fontId="0" fillId="2" borderId="8" xfId="0" applyNumberFormat="1" applyFill="1" applyBorder="1"/>
    <xf numFmtId="5" fontId="0" fillId="2" borderId="2" xfId="0" applyNumberFormat="1" applyFill="1" applyBorder="1"/>
    <xf numFmtId="5" fontId="0" fillId="2" borderId="3" xfId="0" applyNumberFormat="1" applyFill="1" applyBorder="1"/>
    <xf numFmtId="0" fontId="0" fillId="3" borderId="6" xfId="0" applyFill="1" applyBorder="1"/>
    <xf numFmtId="165" fontId="0" fillId="2" borderId="0" xfId="0" applyNumberFormat="1" applyFill="1"/>
    <xf numFmtId="0" fontId="0" fillId="3" borderId="7" xfId="0" applyFill="1" applyBorder="1"/>
    <xf numFmtId="3" fontId="0" fillId="2" borderId="9" xfId="0" applyNumberFormat="1" applyFill="1" applyBorder="1"/>
    <xf numFmtId="0" fontId="0" fillId="2" borderId="10" xfId="0" applyFill="1" applyBorder="1"/>
    <xf numFmtId="5" fontId="0" fillId="2" borderId="11" xfId="0" applyNumberFormat="1" applyFill="1" applyBorder="1"/>
    <xf numFmtId="0" fontId="0" fillId="2" borderId="9" xfId="0" applyFill="1" applyBorder="1"/>
    <xf numFmtId="5" fontId="0" fillId="2" borderId="9" xfId="0" applyNumberFormat="1" applyFill="1" applyBorder="1"/>
    <xf numFmtId="5" fontId="0" fillId="2" borderId="10" xfId="0" applyNumberFormat="1" applyFill="1" applyBorder="1"/>
    <xf numFmtId="0" fontId="6" fillId="2" borderId="0" xfId="0" applyFont="1" applyFill="1" applyAlignment="1">
      <alignment horizontal="center"/>
    </xf>
    <xf numFmtId="0" fontId="6" fillId="2" borderId="0" xfId="0" quotePrefix="1" applyFont="1" applyFill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5" fontId="0" fillId="2" borderId="0" xfId="0" applyNumberFormat="1" applyFill="1" applyBorder="1"/>
    <xf numFmtId="3" fontId="0" fillId="2" borderId="0" xfId="0" applyNumberFormat="1" applyFill="1" applyBorder="1"/>
    <xf numFmtId="10" fontId="0" fillId="2" borderId="2" xfId="0" applyNumberFormat="1" applyFill="1" applyBorder="1"/>
    <xf numFmtId="15" fontId="0" fillId="2" borderId="0" xfId="0" quotePrefix="1" applyNumberFormat="1" applyFill="1"/>
    <xf numFmtId="10" fontId="0" fillId="2" borderId="4" xfId="0" applyNumberFormat="1" applyFill="1" applyBorder="1"/>
    <xf numFmtId="10" fontId="0" fillId="2" borderId="11" xfId="0" applyNumberFormat="1" applyFill="1" applyBorder="1"/>
    <xf numFmtId="0" fontId="8" fillId="2" borderId="0" xfId="0" applyFont="1" applyFill="1"/>
    <xf numFmtId="0" fontId="0" fillId="2" borderId="0" xfId="0" quotePrefix="1" applyFill="1"/>
    <xf numFmtId="0" fontId="9" fillId="2" borderId="0" xfId="0" applyFont="1" applyFill="1" applyBorder="1"/>
    <xf numFmtId="0" fontId="10" fillId="2" borderId="0" xfId="0" applyFont="1" applyFill="1" applyBorder="1" applyAlignment="1">
      <alignment horizontal="center"/>
    </xf>
    <xf numFmtId="5" fontId="0" fillId="2" borderId="12" xfId="0" applyNumberFormat="1" applyFill="1" applyBorder="1"/>
    <xf numFmtId="5" fontId="0" fillId="2" borderId="13" xfId="0" applyNumberFormat="1" applyFill="1" applyBorder="1"/>
    <xf numFmtId="0" fontId="0" fillId="2" borderId="12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14" xfId="0" applyFill="1" applyBorder="1"/>
    <xf numFmtId="0" fontId="0" fillId="2" borderId="11" xfId="0" applyFill="1" applyBorder="1"/>
    <xf numFmtId="164" fontId="0" fillId="2" borderId="2" xfId="0" applyNumberFormat="1" applyFill="1" applyBorder="1"/>
    <xf numFmtId="0" fontId="0" fillId="2" borderId="15" xfId="0" applyFill="1" applyBorder="1"/>
    <xf numFmtId="0" fontId="0" fillId="2" borderId="16" xfId="0" applyFill="1" applyBorder="1"/>
    <xf numFmtId="164" fontId="0" fillId="2" borderId="17" xfId="0" applyNumberFormat="1" applyFill="1" applyBorder="1"/>
    <xf numFmtId="5" fontId="0" fillId="2" borderId="18" xfId="0" applyNumberFormat="1" applyFill="1" applyBorder="1"/>
    <xf numFmtId="5" fontId="0" fillId="2" borderId="17" xfId="0" applyNumberFormat="1" applyFill="1" applyBorder="1"/>
    <xf numFmtId="5" fontId="0" fillId="2" borderId="15" xfId="0" applyNumberFormat="1" applyFill="1" applyBorder="1"/>
    <xf numFmtId="5" fontId="0" fillId="2" borderId="16" xfId="0" applyNumberFormat="1" applyFill="1" applyBorder="1"/>
    <xf numFmtId="10" fontId="0" fillId="2" borderId="17" xfId="0" applyNumberFormat="1" applyFill="1" applyBorder="1"/>
    <xf numFmtId="0" fontId="0" fillId="2" borderId="13" xfId="0" applyFill="1" applyBorder="1"/>
    <xf numFmtId="5" fontId="0" fillId="2" borderId="19" xfId="0" applyNumberFormat="1" applyFill="1" applyBorder="1"/>
    <xf numFmtId="5" fontId="0" fillId="2" borderId="14" xfId="0" applyNumberFormat="1" applyFill="1" applyBorder="1"/>
    <xf numFmtId="164" fontId="0" fillId="2" borderId="3" xfId="0" applyNumberFormat="1" applyFill="1" applyBorder="1"/>
    <xf numFmtId="10" fontId="0" fillId="2" borderId="3" xfId="0" applyNumberFormat="1" applyFill="1" applyBorder="1"/>
    <xf numFmtId="0" fontId="8" fillId="2" borderId="0" xfId="0" applyFont="1" applyFill="1" applyBorder="1"/>
    <xf numFmtId="0" fontId="8" fillId="2" borderId="0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0" fillId="3" borderId="12" xfId="0" applyFill="1" applyBorder="1"/>
    <xf numFmtId="0" fontId="4" fillId="2" borderId="12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2" borderId="10" xfId="0" quotePrefix="1" applyFont="1" applyFill="1" applyBorder="1" applyAlignment="1">
      <alignment horizontal="center"/>
    </xf>
    <xf numFmtId="5" fontId="8" fillId="2" borderId="20" xfId="0" applyNumberFormat="1" applyFont="1" applyFill="1" applyBorder="1" applyAlignment="1">
      <alignment horizontal="center"/>
    </xf>
    <xf numFmtId="5" fontId="8" fillId="4" borderId="17" xfId="0" applyNumberFormat="1" applyFont="1" applyFill="1" applyBorder="1"/>
    <xf numFmtId="5" fontId="8" fillId="4" borderId="13" xfId="0" applyNumberFormat="1" applyFont="1" applyFill="1" applyBorder="1"/>
    <xf numFmtId="5" fontId="8" fillId="4" borderId="3" xfId="0" applyNumberFormat="1" applyFont="1" applyFill="1" applyBorder="1"/>
    <xf numFmtId="5" fontId="8" fillId="4" borderId="6" xfId="0" applyNumberFormat="1" applyFont="1" applyFill="1" applyBorder="1"/>
    <xf numFmtId="5" fontId="8" fillId="4" borderId="2" xfId="0" applyNumberFormat="1" applyFont="1" applyFill="1" applyBorder="1"/>
    <xf numFmtId="5" fontId="8" fillId="4" borderId="12" xfId="0" applyNumberFormat="1" applyFont="1" applyFill="1" applyBorder="1"/>
    <xf numFmtId="5" fontId="8" fillId="4" borderId="7" xfId="0" applyNumberFormat="1" applyFont="1" applyFill="1" applyBorder="1"/>
    <xf numFmtId="5" fontId="8" fillId="4" borderId="11" xfId="0" applyNumberFormat="1" applyFont="1" applyFill="1" applyBorder="1"/>
    <xf numFmtId="5" fontId="8" fillId="4" borderId="14" xfId="0" applyNumberFormat="1" applyFont="1" applyFill="1" applyBorder="1"/>
    <xf numFmtId="5" fontId="8" fillId="4" borderId="10" xfId="0" applyNumberFormat="1" applyFont="1" applyFill="1" applyBorder="1"/>
    <xf numFmtId="5" fontId="8" fillId="5" borderId="17" xfId="0" applyNumberFormat="1" applyFont="1" applyFill="1" applyBorder="1"/>
    <xf numFmtId="5" fontId="8" fillId="5" borderId="14" xfId="0" applyNumberFormat="1" applyFont="1" applyFill="1" applyBorder="1"/>
    <xf numFmtId="5" fontId="8" fillId="5" borderId="10" xfId="0" applyNumberFormat="1" applyFont="1" applyFill="1" applyBorder="1"/>
    <xf numFmtId="5" fontId="8" fillId="5" borderId="2" xfId="0" applyNumberFormat="1" applyFont="1" applyFill="1" applyBorder="1"/>
    <xf numFmtId="5" fontId="8" fillId="5" borderId="13" xfId="0" applyNumberFormat="1" applyFont="1" applyFill="1" applyBorder="1"/>
    <xf numFmtId="5" fontId="8" fillId="5" borderId="3" xfId="0" applyNumberFormat="1" applyFont="1" applyFill="1" applyBorder="1"/>
    <xf numFmtId="5" fontId="8" fillId="4" borderId="16" xfId="0" applyNumberFormat="1" applyFont="1" applyFill="1" applyBorder="1"/>
    <xf numFmtId="5" fontId="8" fillId="4" borderId="0" xfId="0" applyNumberFormat="1" applyFont="1" applyFill="1" applyBorder="1"/>
    <xf numFmtId="5" fontId="8" fillId="4" borderId="19" xfId="0" applyNumberFormat="1" applyFont="1" applyFill="1" applyBorder="1"/>
    <xf numFmtId="0" fontId="6" fillId="0" borderId="0" xfId="2" applyFont="1"/>
    <xf numFmtId="0" fontId="9" fillId="0" borderId="0" xfId="2" applyFont="1"/>
    <xf numFmtId="0" fontId="8" fillId="0" borderId="15" xfId="2" applyFont="1" applyBorder="1"/>
    <xf numFmtId="0" fontId="6" fillId="0" borderId="16" xfId="2" applyFont="1" applyBorder="1"/>
    <xf numFmtId="0" fontId="6" fillId="0" borderId="10" xfId="2" applyFont="1" applyBorder="1"/>
    <xf numFmtId="5" fontId="6" fillId="0" borderId="0" xfId="2" applyNumberFormat="1" applyFont="1"/>
    <xf numFmtId="166" fontId="6" fillId="0" borderId="0" xfId="2" applyNumberFormat="1" applyFont="1"/>
    <xf numFmtId="0" fontId="9" fillId="0" borderId="0" xfId="2" applyFont="1" applyBorder="1"/>
    <xf numFmtId="0" fontId="6" fillId="0" borderId="12" xfId="2" applyFont="1" applyBorder="1"/>
    <xf numFmtId="0" fontId="6" fillId="0" borderId="13" xfId="2" applyFont="1" applyBorder="1" applyAlignment="1">
      <alignment horizontal="center"/>
    </xf>
    <xf numFmtId="0" fontId="6" fillId="0" borderId="19" xfId="2" applyFont="1" applyBorder="1" applyAlignment="1">
      <alignment horizontal="center"/>
    </xf>
    <xf numFmtId="0" fontId="6" fillId="0" borderId="6" xfId="2" applyFont="1" applyBorder="1"/>
    <xf numFmtId="0" fontId="6" fillId="0" borderId="2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8" fillId="0" borderId="21" xfId="2" applyFont="1" applyBorder="1" applyAlignment="1">
      <alignment horizontal="center"/>
    </xf>
    <xf numFmtId="0" fontId="6" fillId="0" borderId="22" xfId="2" applyFont="1" applyBorder="1" applyAlignment="1">
      <alignment horizontal="center"/>
    </xf>
    <xf numFmtId="0" fontId="6" fillId="0" borderId="2" xfId="2" applyFont="1" applyBorder="1"/>
    <xf numFmtId="0" fontId="6" fillId="0" borderId="0" xfId="2" applyFont="1" applyBorder="1"/>
    <xf numFmtId="0" fontId="11" fillId="0" borderId="6" xfId="2" applyFont="1" applyBorder="1"/>
    <xf numFmtId="3" fontId="6" fillId="0" borderId="2" xfId="2" applyNumberFormat="1" applyFont="1" applyBorder="1"/>
    <xf numFmtId="3" fontId="6" fillId="0" borderId="0" xfId="2" applyNumberFormat="1" applyFont="1" applyBorder="1"/>
    <xf numFmtId="3" fontId="11" fillId="0" borderId="2" xfId="2" applyNumberFormat="1" applyFont="1" applyBorder="1"/>
    <xf numFmtId="3" fontId="11" fillId="0" borderId="0" xfId="2" applyNumberFormat="1" applyFont="1" applyBorder="1"/>
    <xf numFmtId="3" fontId="6" fillId="0" borderId="17" xfId="2" applyNumberFormat="1" applyFont="1" applyBorder="1"/>
    <xf numFmtId="3" fontId="6" fillId="0" borderId="18" xfId="2" applyNumberFormat="1" applyFont="1" applyBorder="1"/>
    <xf numFmtId="3" fontId="8" fillId="0" borderId="0" xfId="2" applyNumberFormat="1" applyFont="1" applyBorder="1"/>
    <xf numFmtId="3" fontId="11" fillId="0" borderId="8" xfId="2" applyNumberFormat="1" applyFont="1" applyBorder="1"/>
    <xf numFmtId="3" fontId="11" fillId="0" borderId="1" xfId="2" applyNumberFormat="1" applyFont="1" applyBorder="1"/>
    <xf numFmtId="3" fontId="6" fillId="6" borderId="17" xfId="2" applyNumberFormat="1" applyFont="1" applyFill="1" applyBorder="1"/>
    <xf numFmtId="3" fontId="6" fillId="4" borderId="0" xfId="2" applyNumberFormat="1" applyFont="1" applyFill="1" applyBorder="1"/>
    <xf numFmtId="0" fontId="11" fillId="0" borderId="7" xfId="2" applyFont="1" applyBorder="1"/>
    <xf numFmtId="3" fontId="11" fillId="4" borderId="3" xfId="2" applyNumberFormat="1" applyFont="1" applyFill="1" applyBorder="1"/>
    <xf numFmtId="3" fontId="11" fillId="4" borderId="9" xfId="2" applyNumberFormat="1" applyFont="1" applyFill="1" applyBorder="1"/>
    <xf numFmtId="3" fontId="6" fillId="0" borderId="0" xfId="2" applyNumberFormat="1" applyFont="1"/>
    <xf numFmtId="168" fontId="6" fillId="0" borderId="19" xfId="1" applyNumberFormat="1" applyFont="1" applyBorder="1"/>
    <xf numFmtId="168" fontId="6" fillId="0" borderId="0" xfId="1" applyNumberFormat="1" applyFont="1"/>
    <xf numFmtId="0" fontId="6" fillId="0" borderId="7" xfId="2" applyFont="1" applyBorder="1"/>
    <xf numFmtId="0" fontId="6" fillId="0" borderId="9" xfId="2" applyNumberFormat="1" applyFont="1" applyBorder="1" applyAlignment="1">
      <alignment horizontal="center"/>
    </xf>
    <xf numFmtId="168" fontId="6" fillId="0" borderId="9" xfId="2" applyNumberFormat="1" applyFont="1" applyBorder="1" applyAlignment="1">
      <alignment horizontal="center"/>
    </xf>
    <xf numFmtId="0" fontId="6" fillId="0" borderId="9" xfId="2" applyFont="1" applyBorder="1"/>
    <xf numFmtId="3" fontId="4" fillId="0" borderId="0" xfId="2" applyNumberFormat="1" applyBorder="1"/>
    <xf numFmtId="3" fontId="8" fillId="0" borderId="6" xfId="2" applyNumberFormat="1" applyFont="1" applyFill="1" applyBorder="1"/>
    <xf numFmtId="3" fontId="4" fillId="0" borderId="11" xfId="2" applyNumberFormat="1" applyBorder="1"/>
    <xf numFmtId="3" fontId="12" fillId="0" borderId="0" xfId="2" applyNumberFormat="1" applyFont="1" applyBorder="1" applyAlignment="1">
      <alignment horizontal="center"/>
    </xf>
    <xf numFmtId="3" fontId="6" fillId="0" borderId="0" xfId="2" applyNumberFormat="1" applyFont="1" applyBorder="1" applyAlignment="1">
      <alignment horizontal="center"/>
    </xf>
    <xf numFmtId="3" fontId="4" fillId="0" borderId="9" xfId="2" applyNumberFormat="1" applyFill="1" applyBorder="1"/>
    <xf numFmtId="3" fontId="4" fillId="0" borderId="6" xfId="2" applyNumberFormat="1" applyBorder="1" applyAlignment="1">
      <alignment horizontal="center"/>
    </xf>
    <xf numFmtId="3" fontId="4" fillId="0" borderId="0" xfId="2" applyNumberFormat="1" applyBorder="1" applyAlignment="1">
      <alignment horizontal="center"/>
    </xf>
    <xf numFmtId="3" fontId="4" fillId="0" borderId="11" xfId="2" applyNumberFormat="1" applyBorder="1" applyAlignment="1">
      <alignment horizontal="center"/>
    </xf>
    <xf numFmtId="39" fontId="6" fillId="0" borderId="0" xfId="2" applyNumberFormat="1" applyFont="1" applyBorder="1"/>
    <xf numFmtId="0" fontId="13" fillId="0" borderId="0" xfId="2" applyFont="1"/>
    <xf numFmtId="3" fontId="4" fillId="0" borderId="0" xfId="2" applyNumberFormat="1" applyFill="1" applyBorder="1" applyAlignment="1">
      <alignment horizontal="center"/>
    </xf>
    <xf numFmtId="3" fontId="4" fillId="0" borderId="7" xfId="2" applyNumberFormat="1" applyBorder="1" applyAlignment="1">
      <alignment horizontal="center"/>
    </xf>
    <xf numFmtId="3" fontId="4" fillId="0" borderId="9" xfId="2" applyNumberFormat="1" applyBorder="1" applyAlignment="1">
      <alignment horizontal="center"/>
    </xf>
    <xf numFmtId="3" fontId="6" fillId="0" borderId="0" xfId="2" applyNumberFormat="1" applyFont="1" applyBorder="1" applyAlignment="1">
      <alignment horizontal="left"/>
    </xf>
    <xf numFmtId="3" fontId="6" fillId="0" borderId="0" xfId="2" applyNumberFormat="1" applyFont="1" applyBorder="1" applyAlignment="1">
      <alignment horizontal="right"/>
    </xf>
    <xf numFmtId="3" fontId="4" fillId="0" borderId="12" xfId="2" applyNumberFormat="1" applyBorder="1"/>
    <xf numFmtId="3" fontId="4" fillId="0" borderId="19" xfId="2" applyNumberFormat="1" applyBorder="1"/>
    <xf numFmtId="3" fontId="4" fillId="0" borderId="14" xfId="2" applyNumberFormat="1" applyBorder="1"/>
    <xf numFmtId="3" fontId="4" fillId="0" borderId="6" xfId="2" applyNumberFormat="1" applyBorder="1" applyAlignment="1">
      <alignment horizontal="left"/>
    </xf>
    <xf numFmtId="169" fontId="4" fillId="0" borderId="11" xfId="2" applyNumberFormat="1" applyBorder="1"/>
    <xf numFmtId="0" fontId="8" fillId="0" borderId="0" xfId="2" applyFont="1" applyBorder="1"/>
    <xf numFmtId="169" fontId="6" fillId="0" borderId="11" xfId="2" applyNumberFormat="1" applyFont="1" applyBorder="1" applyAlignment="1">
      <alignment horizontal="right"/>
    </xf>
    <xf numFmtId="0" fontId="4" fillId="2" borderId="0" xfId="2" applyFill="1" applyBorder="1"/>
    <xf numFmtId="3" fontId="6" fillId="0" borderId="10" xfId="2" applyNumberFormat="1" applyFont="1" applyBorder="1"/>
    <xf numFmtId="0" fontId="4" fillId="2" borderId="0" xfId="2" applyFill="1"/>
    <xf numFmtId="0" fontId="2" fillId="2" borderId="0" xfId="2" applyFont="1" applyFill="1"/>
    <xf numFmtId="0" fontId="4" fillId="0" borderId="0" xfId="2"/>
    <xf numFmtId="0" fontId="3" fillId="2" borderId="0" xfId="2" applyFont="1" applyFill="1"/>
    <xf numFmtId="0" fontId="8" fillId="2" borderId="0" xfId="2" applyFont="1" applyFill="1"/>
    <xf numFmtId="0" fontId="3" fillId="2" borderId="0" xfId="2" applyFont="1" applyFill="1" applyBorder="1"/>
    <xf numFmtId="0" fontId="4" fillId="2" borderId="23" xfId="2" applyFill="1" applyBorder="1"/>
    <xf numFmtId="0" fontId="4" fillId="2" borderId="23" xfId="2" applyFill="1" applyBorder="1" applyAlignment="1">
      <alignment horizontal="center"/>
    </xf>
    <xf numFmtId="0" fontId="4" fillId="2" borderId="24" xfId="2" applyFill="1" applyBorder="1"/>
    <xf numFmtId="0" fontId="4" fillId="2" borderId="24" xfId="2" applyFill="1" applyBorder="1" applyAlignment="1">
      <alignment horizontal="center"/>
    </xf>
    <xf numFmtId="0" fontId="4" fillId="2" borderId="25" xfId="2" applyFill="1" applyBorder="1" applyAlignment="1">
      <alignment horizontal="center"/>
    </xf>
    <xf numFmtId="0" fontId="4" fillId="2" borderId="26" xfId="2" applyFill="1" applyBorder="1" applyAlignment="1">
      <alignment horizontal="center"/>
    </xf>
    <xf numFmtId="0" fontId="4" fillId="2" borderId="27" xfId="2" applyFill="1" applyBorder="1"/>
    <xf numFmtId="0" fontId="4" fillId="2" borderId="28" xfId="2" applyFill="1" applyBorder="1"/>
    <xf numFmtId="0" fontId="4" fillId="2" borderId="29" xfId="2" applyFill="1" applyBorder="1"/>
    <xf numFmtId="0" fontId="4" fillId="2" borderId="27" xfId="2" applyFill="1" applyBorder="1" applyAlignment="1">
      <alignment horizontal="center"/>
    </xf>
    <xf numFmtId="0" fontId="10" fillId="2" borderId="27" xfId="2" applyFont="1" applyFill="1" applyBorder="1" applyAlignment="1">
      <alignment horizontal="center"/>
    </xf>
    <xf numFmtId="0" fontId="4" fillId="2" borderId="20" xfId="2" applyFill="1" applyBorder="1"/>
    <xf numFmtId="3" fontId="4" fillId="2" borderId="20" xfId="2" applyNumberFormat="1" applyFill="1" applyBorder="1"/>
    <xf numFmtId="164" fontId="4" fillId="2" borderId="20" xfId="2" applyNumberFormat="1" applyFill="1" applyBorder="1"/>
    <xf numFmtId="5" fontId="4" fillId="2" borderId="20" xfId="2" applyNumberFormat="1" applyFill="1" applyBorder="1"/>
    <xf numFmtId="0" fontId="4" fillId="0" borderId="20" xfId="2" applyBorder="1"/>
    <xf numFmtId="0" fontId="4" fillId="2" borderId="9" xfId="2" applyFill="1" applyBorder="1"/>
    <xf numFmtId="5" fontId="4" fillId="2" borderId="7" xfId="2" applyNumberFormat="1" applyFill="1" applyBorder="1"/>
    <xf numFmtId="5" fontId="4" fillId="2" borderId="3" xfId="2" applyNumberFormat="1" applyFill="1" applyBorder="1"/>
    <xf numFmtId="5" fontId="4" fillId="2" borderId="10" xfId="2" applyNumberFormat="1" applyFill="1" applyBorder="1"/>
    <xf numFmtId="0" fontId="4" fillId="2" borderId="3" xfId="2" applyFill="1" applyBorder="1"/>
    <xf numFmtId="164" fontId="4" fillId="2" borderId="0" xfId="2" applyNumberFormat="1" applyFill="1"/>
    <xf numFmtId="5" fontId="4" fillId="2" borderId="0" xfId="2" applyNumberFormat="1" applyFill="1"/>
    <xf numFmtId="0" fontId="4" fillId="2" borderId="0" xfId="2" quotePrefix="1" applyFill="1"/>
    <xf numFmtId="0" fontId="6" fillId="0" borderId="0" xfId="2" applyFont="1" applyFill="1"/>
    <xf numFmtId="0" fontId="6" fillId="0" borderId="0" xfId="2" applyFont="1" applyFill="1" applyAlignment="1">
      <alignment horizontal="center"/>
    </xf>
    <xf numFmtId="3" fontId="11" fillId="0" borderId="0" xfId="2" applyNumberFormat="1" applyFont="1" applyFill="1"/>
    <xf numFmtId="3" fontId="6" fillId="0" borderId="0" xfId="2" applyNumberFormat="1" applyFont="1" applyFill="1"/>
    <xf numFmtId="0" fontId="11" fillId="0" borderId="30" xfId="2" applyFont="1" applyFill="1" applyBorder="1" applyAlignment="1">
      <alignment horizontal="center"/>
    </xf>
    <xf numFmtId="3" fontId="11" fillId="0" borderId="31" xfId="2" applyNumberFormat="1" applyFont="1" applyFill="1" applyBorder="1" applyAlignment="1">
      <alignment horizontal="center"/>
    </xf>
    <xf numFmtId="10" fontId="11" fillId="0" borderId="32" xfId="3" applyNumberFormat="1" applyFont="1" applyFill="1" applyBorder="1" applyAlignment="1">
      <alignment horizontal="center"/>
    </xf>
    <xf numFmtId="3" fontId="11" fillId="0" borderId="33" xfId="2" applyNumberFormat="1" applyFont="1" applyFill="1" applyBorder="1" applyAlignment="1">
      <alignment horizontal="center"/>
    </xf>
    <xf numFmtId="3" fontId="11" fillId="0" borderId="36" xfId="2" applyNumberFormat="1" applyFont="1" applyFill="1" applyBorder="1" applyAlignment="1">
      <alignment horizontal="center"/>
    </xf>
    <xf numFmtId="0" fontId="11" fillId="0" borderId="37" xfId="2" applyFont="1" applyFill="1" applyBorder="1" applyAlignment="1">
      <alignment horizontal="center"/>
    </xf>
    <xf numFmtId="3" fontId="11" fillId="0" borderId="38" xfId="2" applyNumberFormat="1" applyFont="1" applyFill="1" applyBorder="1" applyAlignment="1">
      <alignment horizontal="center"/>
    </xf>
    <xf numFmtId="0" fontId="4" fillId="2" borderId="0" xfId="2" applyFont="1" applyFill="1"/>
    <xf numFmtId="0" fontId="0" fillId="0" borderId="20" xfId="0" applyBorder="1"/>
    <xf numFmtId="0" fontId="0" fillId="2" borderId="20" xfId="0" applyFill="1" applyBorder="1"/>
    <xf numFmtId="168" fontId="0" fillId="2" borderId="20" xfId="1" applyNumberFormat="1" applyFont="1" applyFill="1" applyBorder="1"/>
    <xf numFmtId="0" fontId="0" fillId="2" borderId="39" xfId="0" applyFill="1" applyBorder="1"/>
    <xf numFmtId="168" fontId="6" fillId="0" borderId="0" xfId="1" applyNumberFormat="1" applyFont="1" applyBorder="1"/>
    <xf numFmtId="168" fontId="11" fillId="0" borderId="0" xfId="1" applyNumberFormat="1" applyFont="1" applyBorder="1"/>
    <xf numFmtId="0" fontId="11" fillId="0" borderId="0" xfId="2" applyFont="1"/>
    <xf numFmtId="168" fontId="6" fillId="0" borderId="2" xfId="1" applyNumberFormat="1" applyFont="1" applyBorder="1"/>
    <xf numFmtId="0" fontId="6" fillId="2" borderId="20" xfId="2" applyFont="1" applyFill="1" applyBorder="1" applyAlignment="1">
      <alignment horizontal="right"/>
    </xf>
    <xf numFmtId="3" fontId="6" fillId="0" borderId="20" xfId="2" applyNumberFormat="1" applyFont="1" applyFill="1" applyBorder="1" applyAlignment="1">
      <alignment horizontal="right"/>
    </xf>
    <xf numFmtId="167" fontId="11" fillId="0" borderId="31" xfId="2" applyNumberFormat="1" applyFont="1" applyFill="1" applyBorder="1" applyAlignment="1">
      <alignment horizontal="center"/>
    </xf>
    <xf numFmtId="3" fontId="4" fillId="0" borderId="10" xfId="2" applyNumberFormat="1" applyFont="1" applyFill="1" applyBorder="1"/>
    <xf numFmtId="43" fontId="6" fillId="0" borderId="0" xfId="1" applyFont="1"/>
    <xf numFmtId="0" fontId="4" fillId="0" borderId="7" xfId="2" applyFont="1" applyFill="1" applyBorder="1"/>
    <xf numFmtId="0" fontId="14" fillId="0" borderId="0" xfId="4" applyFill="1"/>
    <xf numFmtId="0" fontId="14" fillId="0" borderId="0" xfId="4"/>
    <xf numFmtId="0" fontId="17" fillId="7" borderId="40" xfId="4" applyFont="1" applyFill="1" applyBorder="1"/>
    <xf numFmtId="0" fontId="17" fillId="7" borderId="23" xfId="4" applyFont="1" applyFill="1" applyBorder="1"/>
    <xf numFmtId="0" fontId="17" fillId="7" borderId="23" xfId="4" applyFont="1" applyFill="1" applyBorder="1" applyAlignment="1">
      <alignment horizontal="center"/>
    </xf>
    <xf numFmtId="168" fontId="17" fillId="7" borderId="23" xfId="5" applyNumberFormat="1" applyFont="1" applyFill="1" applyBorder="1" applyAlignment="1">
      <alignment horizontal="center" wrapText="1"/>
    </xf>
    <xf numFmtId="0" fontId="17" fillId="7" borderId="23" xfId="4" applyFont="1" applyFill="1" applyBorder="1" applyAlignment="1">
      <alignment horizontal="center" wrapText="1"/>
    </xf>
    <xf numFmtId="0" fontId="18" fillId="0" borderId="0" xfId="4" applyFont="1" applyFill="1"/>
    <xf numFmtId="0" fontId="18" fillId="0" borderId="0" xfId="4" applyFont="1"/>
    <xf numFmtId="0" fontId="17" fillId="8" borderId="15" xfId="4" applyFont="1" applyFill="1" applyBorder="1"/>
    <xf numFmtId="0" fontId="17" fillId="8" borderId="18" xfId="4" applyFont="1" applyFill="1" applyBorder="1"/>
    <xf numFmtId="168" fontId="17" fillId="8" borderId="18" xfId="4" applyNumberFormat="1" applyFont="1" applyFill="1" applyBorder="1" applyAlignment="1">
      <alignment horizontal="center"/>
    </xf>
    <xf numFmtId="0" fontId="19" fillId="10" borderId="1" xfId="4" applyFont="1" applyFill="1" applyBorder="1"/>
    <xf numFmtId="168" fontId="19" fillId="0" borderId="46" xfId="5" applyNumberFormat="1" applyFont="1" applyBorder="1"/>
    <xf numFmtId="168" fontId="19" fillId="0" borderId="47" xfId="4" applyNumberFormat="1" applyFont="1" applyBorder="1"/>
    <xf numFmtId="168" fontId="19" fillId="0" borderId="48" xfId="4" applyNumberFormat="1" applyFont="1" applyBorder="1"/>
    <xf numFmtId="168" fontId="19" fillId="0" borderId="49" xfId="5" applyNumberFormat="1" applyFont="1" applyBorder="1"/>
    <xf numFmtId="0" fontId="19" fillId="10" borderId="51" xfId="4" applyFont="1" applyFill="1" applyBorder="1"/>
    <xf numFmtId="168" fontId="19" fillId="0" borderId="52" xfId="5" applyNumberFormat="1" applyFont="1" applyBorder="1"/>
    <xf numFmtId="168" fontId="19" fillId="0" borderId="53" xfId="5" applyNumberFormat="1" applyFont="1" applyBorder="1"/>
    <xf numFmtId="168" fontId="19" fillId="0" borderId="48" xfId="4" applyNumberFormat="1" applyFont="1" applyFill="1" applyBorder="1"/>
    <xf numFmtId="0" fontId="19" fillId="10" borderId="55" xfId="4" applyFont="1" applyFill="1" applyBorder="1"/>
    <xf numFmtId="168" fontId="19" fillId="0" borderId="56" xfId="5" applyNumberFormat="1" applyFont="1" applyBorder="1"/>
    <xf numFmtId="168" fontId="19" fillId="0" borderId="57" xfId="4" applyNumberFormat="1" applyFont="1" applyBorder="1"/>
    <xf numFmtId="168" fontId="19" fillId="0" borderId="58" xfId="5" applyNumberFormat="1" applyFont="1" applyBorder="1"/>
    <xf numFmtId="168" fontId="17" fillId="8" borderId="59" xfId="5" applyNumberFormat="1" applyFont="1" applyFill="1" applyBorder="1"/>
    <xf numFmtId="168" fontId="17" fillId="8" borderId="16" xfId="5" applyNumberFormat="1" applyFont="1" applyFill="1" applyBorder="1"/>
    <xf numFmtId="0" fontId="19" fillId="10" borderId="0" xfId="4" applyFont="1" applyFill="1" applyBorder="1"/>
    <xf numFmtId="168" fontId="19" fillId="0" borderId="62" xfId="5" applyNumberFormat="1" applyFont="1" applyBorder="1"/>
    <xf numFmtId="168" fontId="19" fillId="0" borderId="63" xfId="4" applyNumberFormat="1" applyFont="1" applyBorder="1"/>
    <xf numFmtId="168" fontId="19" fillId="0" borderId="64" xfId="5" applyNumberFormat="1" applyFont="1" applyBorder="1"/>
    <xf numFmtId="168" fontId="17" fillId="8" borderId="18" xfId="4" applyNumberFormat="1" applyFont="1" applyFill="1" applyBorder="1"/>
    <xf numFmtId="168" fontId="17" fillId="8" borderId="16" xfId="4" applyNumberFormat="1" applyFont="1" applyFill="1" applyBorder="1"/>
    <xf numFmtId="168" fontId="14" fillId="0" borderId="0" xfId="4" applyNumberFormat="1" applyFill="1"/>
    <xf numFmtId="3" fontId="11" fillId="0" borderId="65" xfId="2" applyNumberFormat="1" applyFont="1" applyFill="1" applyBorder="1" applyAlignment="1">
      <alignment horizontal="center"/>
    </xf>
    <xf numFmtId="10" fontId="11" fillId="0" borderId="66" xfId="3" applyNumberFormat="1" applyFont="1" applyFill="1" applyBorder="1" applyAlignment="1">
      <alignment horizontal="center"/>
    </xf>
    <xf numFmtId="9" fontId="11" fillId="11" borderId="67" xfId="3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43" fontId="0" fillId="0" borderId="0" xfId="1" applyFont="1"/>
    <xf numFmtId="0" fontId="4" fillId="0" borderId="0" xfId="2" applyFont="1" applyFill="1" applyBorder="1"/>
    <xf numFmtId="0" fontId="4" fillId="0" borderId="0" xfId="2" applyFont="1"/>
    <xf numFmtId="0" fontId="12" fillId="12" borderId="0" xfId="6" applyFill="1" applyBorder="1"/>
    <xf numFmtId="0" fontId="2" fillId="12" borderId="0" xfId="6" applyFont="1" applyFill="1" applyBorder="1"/>
    <xf numFmtId="0" fontId="2" fillId="0" borderId="0" xfId="6" applyFont="1" applyFill="1" applyBorder="1"/>
    <xf numFmtId="0" fontId="3" fillId="12" borderId="0" xfId="6" applyFont="1" applyFill="1" applyBorder="1"/>
    <xf numFmtId="0" fontId="12" fillId="0" borderId="0" xfId="6"/>
    <xf numFmtId="0" fontId="12" fillId="0" borderId="0" xfId="6" applyFill="1" applyBorder="1"/>
    <xf numFmtId="0" fontId="9" fillId="12" borderId="0" xfId="6" applyFont="1" applyFill="1" applyBorder="1"/>
    <xf numFmtId="0" fontId="12" fillId="12" borderId="69" xfId="6" applyFill="1" applyBorder="1"/>
    <xf numFmtId="0" fontId="12" fillId="12" borderId="70" xfId="6" applyFill="1" applyBorder="1"/>
    <xf numFmtId="0" fontId="12" fillId="0" borderId="69" xfId="6" applyFill="1" applyBorder="1"/>
    <xf numFmtId="0" fontId="3" fillId="12" borderId="0" xfId="6" applyFont="1" applyFill="1" applyBorder="1" applyAlignment="1">
      <alignment horizontal="center"/>
    </xf>
    <xf numFmtId="0" fontId="12" fillId="12" borderId="69" xfId="6" applyFill="1" applyBorder="1" applyAlignment="1">
      <alignment horizontal="center"/>
    </xf>
    <xf numFmtId="0" fontId="12" fillId="12" borderId="0" xfId="6" applyFill="1" applyBorder="1" applyAlignment="1">
      <alignment horizontal="center"/>
    </xf>
    <xf numFmtId="0" fontId="3" fillId="12" borderId="70" xfId="6" applyFont="1" applyFill="1" applyBorder="1" applyAlignment="1">
      <alignment horizontal="center"/>
    </xf>
    <xf numFmtId="0" fontId="12" fillId="0" borderId="69" xfId="6" applyFill="1" applyBorder="1" applyAlignment="1">
      <alignment horizontal="center"/>
    </xf>
    <xf numFmtId="0" fontId="12" fillId="0" borderId="0" xfId="6" applyFill="1" applyBorder="1" applyAlignment="1">
      <alignment horizontal="center"/>
    </xf>
    <xf numFmtId="0" fontId="3" fillId="0" borderId="69" xfId="6" applyFont="1" applyFill="1" applyBorder="1" applyAlignment="1">
      <alignment horizontal="center"/>
    </xf>
    <xf numFmtId="170" fontId="3" fillId="12" borderId="0" xfId="6" applyNumberFormat="1" applyFont="1" applyFill="1" applyBorder="1" applyAlignment="1">
      <alignment horizontal="center"/>
    </xf>
    <xf numFmtId="170" fontId="3" fillId="0" borderId="69" xfId="6" applyNumberFormat="1" applyFont="1" applyFill="1" applyBorder="1" applyAlignment="1">
      <alignment horizontal="center"/>
    </xf>
    <xf numFmtId="170" fontId="3" fillId="0" borderId="0" xfId="6" applyNumberFormat="1" applyFont="1" applyFill="1" applyBorder="1" applyAlignment="1">
      <alignment horizontal="center"/>
    </xf>
    <xf numFmtId="0" fontId="4" fillId="12" borderId="0" xfId="6" applyFont="1" applyFill="1" applyBorder="1" applyAlignment="1">
      <alignment horizontal="center"/>
    </xf>
    <xf numFmtId="0" fontId="10" fillId="12" borderId="72" xfId="6" applyFont="1" applyFill="1" applyBorder="1" applyAlignment="1">
      <alignment horizontal="center"/>
    </xf>
    <xf numFmtId="0" fontId="10" fillId="12" borderId="73" xfId="6" applyFont="1" applyFill="1" applyBorder="1" applyAlignment="1">
      <alignment horizontal="center"/>
    </xf>
    <xf numFmtId="0" fontId="12" fillId="12" borderId="73" xfId="6" applyFont="1" applyFill="1" applyBorder="1" applyAlignment="1">
      <alignment horizontal="center"/>
    </xf>
    <xf numFmtId="0" fontId="3" fillId="12" borderId="74" xfId="6" applyFont="1" applyFill="1" applyBorder="1" applyAlignment="1">
      <alignment horizontal="center"/>
    </xf>
    <xf numFmtId="0" fontId="10" fillId="0" borderId="72" xfId="6" applyFont="1" applyFill="1" applyBorder="1" applyAlignment="1">
      <alignment horizontal="center"/>
    </xf>
    <xf numFmtId="0" fontId="10" fillId="0" borderId="73" xfId="6" applyFont="1" applyFill="1" applyBorder="1" applyAlignment="1">
      <alignment horizontal="center"/>
    </xf>
    <xf numFmtId="0" fontId="3" fillId="12" borderId="73" xfId="6" applyFont="1" applyFill="1" applyBorder="1" applyAlignment="1">
      <alignment horizontal="center"/>
    </xf>
    <xf numFmtId="0" fontId="12" fillId="12" borderId="72" xfId="6" applyFont="1" applyFill="1" applyBorder="1" applyAlignment="1">
      <alignment horizontal="center"/>
    </xf>
    <xf numFmtId="0" fontId="12" fillId="12" borderId="75" xfId="6" applyFill="1" applyBorder="1"/>
    <xf numFmtId="0" fontId="12" fillId="12" borderId="76" xfId="6" applyFont="1" applyFill="1" applyBorder="1"/>
    <xf numFmtId="171" fontId="12" fillId="12" borderId="77" xfId="6" applyNumberFormat="1" applyFill="1" applyBorder="1"/>
    <xf numFmtId="171" fontId="12" fillId="12" borderId="68" xfId="6" applyNumberFormat="1" applyFill="1" applyBorder="1"/>
    <xf numFmtId="171" fontId="20" fillId="0" borderId="68" xfId="8" applyNumberFormat="1" applyFont="1" applyBorder="1"/>
    <xf numFmtId="171" fontId="3" fillId="14" borderId="76" xfId="6" applyNumberFormat="1" applyFont="1" applyFill="1" applyBorder="1"/>
    <xf numFmtId="171" fontId="3" fillId="14" borderId="78" xfId="6" applyNumberFormat="1" applyFont="1" applyFill="1" applyBorder="1"/>
    <xf numFmtId="171" fontId="12" fillId="12" borderId="76" xfId="6" applyNumberFormat="1" applyFill="1" applyBorder="1"/>
    <xf numFmtId="171" fontId="12" fillId="12" borderId="75" xfId="6" applyNumberFormat="1" applyFill="1" applyBorder="1"/>
    <xf numFmtId="171" fontId="20" fillId="0" borderId="71" xfId="8" applyNumberFormat="1" applyFont="1" applyBorder="1"/>
    <xf numFmtId="171" fontId="12" fillId="0" borderId="76" xfId="6" applyNumberFormat="1" applyFont="1" applyFill="1" applyBorder="1"/>
    <xf numFmtId="171" fontId="12" fillId="0" borderId="77" xfId="6" applyNumberFormat="1" applyFont="1" applyFill="1" applyBorder="1"/>
    <xf numFmtId="171" fontId="3" fillId="14" borderId="68" xfId="6" applyNumberFormat="1" applyFont="1" applyFill="1" applyBorder="1"/>
    <xf numFmtId="171" fontId="12" fillId="0" borderId="78" xfId="6" applyNumberFormat="1" applyFont="1" applyFill="1" applyBorder="1"/>
    <xf numFmtId="171" fontId="12" fillId="0" borderId="75" xfId="6" applyNumberFormat="1" applyFont="1" applyFill="1" applyBorder="1"/>
    <xf numFmtId="171" fontId="3" fillId="13" borderId="78" xfId="6" applyNumberFormat="1" applyFont="1" applyFill="1" applyBorder="1"/>
    <xf numFmtId="170" fontId="12" fillId="12" borderId="78" xfId="6" applyNumberFormat="1" applyFill="1" applyBorder="1"/>
    <xf numFmtId="170" fontId="12" fillId="12" borderId="77" xfId="6" applyNumberFormat="1" applyFill="1" applyBorder="1"/>
    <xf numFmtId="170" fontId="12" fillId="12" borderId="75" xfId="6" applyNumberFormat="1" applyFill="1" applyBorder="1"/>
    <xf numFmtId="10" fontId="12" fillId="12" borderId="78" xfId="6" applyNumberFormat="1" applyFill="1" applyBorder="1"/>
    <xf numFmtId="170" fontId="12" fillId="12" borderId="0" xfId="6" applyNumberFormat="1" applyFill="1" applyBorder="1"/>
    <xf numFmtId="3" fontId="12" fillId="12" borderId="0" xfId="6" applyNumberFormat="1" applyFill="1" applyBorder="1"/>
    <xf numFmtId="0" fontId="12" fillId="12" borderId="79" xfId="6" applyFill="1" applyBorder="1"/>
    <xf numFmtId="0" fontId="12" fillId="12" borderId="80" xfId="6" applyFill="1" applyBorder="1"/>
    <xf numFmtId="171" fontId="12" fillId="12" borderId="81" xfId="6" applyNumberFormat="1" applyFill="1" applyBorder="1"/>
    <xf numFmtId="171" fontId="12" fillId="12" borderId="68" xfId="6" applyNumberFormat="1" applyFont="1" applyFill="1" applyBorder="1"/>
    <xf numFmtId="171" fontId="3" fillId="14" borderId="80" xfId="6" applyNumberFormat="1" applyFont="1" applyFill="1" applyBorder="1"/>
    <xf numFmtId="171" fontId="12" fillId="12" borderId="80" xfId="6" applyNumberFormat="1" applyFill="1" applyBorder="1"/>
    <xf numFmtId="171" fontId="12" fillId="0" borderId="68" xfId="6" applyNumberFormat="1" applyFont="1" applyFill="1" applyBorder="1"/>
    <xf numFmtId="171" fontId="12" fillId="0" borderId="81" xfId="6" applyNumberFormat="1" applyFont="1" applyFill="1" applyBorder="1"/>
    <xf numFmtId="171" fontId="12" fillId="12" borderId="79" xfId="6" applyNumberFormat="1" applyFill="1" applyBorder="1"/>
    <xf numFmtId="171" fontId="12" fillId="12" borderId="79" xfId="6" applyNumberFormat="1" applyFont="1" applyFill="1" applyBorder="1"/>
    <xf numFmtId="171" fontId="3" fillId="14" borderId="13" xfId="6" applyNumberFormat="1" applyFont="1" applyFill="1" applyBorder="1"/>
    <xf numFmtId="171" fontId="12" fillId="0" borderId="79" xfId="6" applyNumberFormat="1" applyFont="1" applyFill="1" applyBorder="1"/>
    <xf numFmtId="170" fontId="12" fillId="12" borderId="80" xfId="6" applyNumberFormat="1" applyFill="1" applyBorder="1"/>
    <xf numFmtId="170" fontId="12" fillId="12" borderId="81" xfId="6" applyNumberFormat="1" applyFill="1" applyBorder="1"/>
    <xf numFmtId="170" fontId="12" fillId="12" borderId="79" xfId="6" applyNumberFormat="1" applyFill="1" applyBorder="1"/>
    <xf numFmtId="170" fontId="12" fillId="12" borderId="68" xfId="6" applyNumberFormat="1" applyFill="1" applyBorder="1"/>
    <xf numFmtId="0" fontId="12" fillId="12" borderId="72" xfId="6" applyFill="1" applyBorder="1"/>
    <xf numFmtId="0" fontId="12" fillId="12" borderId="74" xfId="6" applyFont="1" applyFill="1" applyBorder="1"/>
    <xf numFmtId="171" fontId="12" fillId="12" borderId="73" xfId="6" applyNumberFormat="1" applyFill="1" applyBorder="1"/>
    <xf numFmtId="171" fontId="12" fillId="12" borderId="82" xfId="6" applyNumberFormat="1" applyFill="1" applyBorder="1"/>
    <xf numFmtId="171" fontId="20" fillId="0" borderId="82" xfId="8" applyNumberFormat="1" applyFont="1" applyBorder="1"/>
    <xf numFmtId="171" fontId="3" fillId="14" borderId="74" xfId="6" applyNumberFormat="1" applyFont="1" applyFill="1" applyBorder="1"/>
    <xf numFmtId="171" fontId="12" fillId="12" borderId="74" xfId="6" applyNumberFormat="1" applyFill="1" applyBorder="1"/>
    <xf numFmtId="171" fontId="3" fillId="14" borderId="82" xfId="6" applyNumberFormat="1" applyFont="1" applyFill="1" applyBorder="1"/>
    <xf numFmtId="171" fontId="12" fillId="0" borderId="82" xfId="6" applyNumberFormat="1" applyFont="1" applyFill="1" applyBorder="1"/>
    <xf numFmtId="171" fontId="12" fillId="0" borderId="73" xfId="6" applyNumberFormat="1" applyFont="1" applyFill="1" applyBorder="1"/>
    <xf numFmtId="171" fontId="12" fillId="12" borderId="72" xfId="6" applyNumberFormat="1" applyFill="1" applyBorder="1"/>
    <xf numFmtId="171" fontId="20" fillId="0" borderId="72" xfId="8" applyNumberFormat="1" applyFont="1" applyBorder="1"/>
    <xf numFmtId="171" fontId="3" fillId="14" borderId="2" xfId="6" applyNumberFormat="1" applyFont="1" applyFill="1" applyBorder="1"/>
    <xf numFmtId="171" fontId="12" fillId="0" borderId="72" xfId="6" applyNumberFormat="1" applyFont="1" applyFill="1" applyBorder="1"/>
    <xf numFmtId="170" fontId="12" fillId="12" borderId="74" xfId="6" applyNumberFormat="1" applyFill="1" applyBorder="1"/>
    <xf numFmtId="170" fontId="12" fillId="12" borderId="73" xfId="6" applyNumberFormat="1" applyFill="1" applyBorder="1"/>
    <xf numFmtId="170" fontId="12" fillId="12" borderId="72" xfId="6" applyNumberFormat="1" applyFill="1" applyBorder="1"/>
    <xf numFmtId="10" fontId="12" fillId="12" borderId="82" xfId="6" applyNumberFormat="1" applyFill="1" applyBorder="1"/>
    <xf numFmtId="171" fontId="12" fillId="12" borderId="0" xfId="6" applyNumberFormat="1" applyFill="1" applyBorder="1"/>
    <xf numFmtId="171" fontId="12" fillId="12" borderId="71" xfId="6" applyNumberFormat="1" applyFill="1" applyBorder="1"/>
    <xf numFmtId="171" fontId="12" fillId="12" borderId="71" xfId="6" applyNumberFormat="1" applyFont="1" applyFill="1" applyBorder="1"/>
    <xf numFmtId="171" fontId="3" fillId="14" borderId="0" xfId="6" applyNumberFormat="1" applyFont="1" applyFill="1" applyBorder="1"/>
    <xf numFmtId="171" fontId="12" fillId="12" borderId="69" xfId="6" applyNumberFormat="1" applyFill="1" applyBorder="1"/>
    <xf numFmtId="171" fontId="12" fillId="12" borderId="69" xfId="6" applyNumberFormat="1" applyFont="1" applyFill="1" applyBorder="1"/>
    <xf numFmtId="171" fontId="3" fillId="14" borderId="69" xfId="6" applyNumberFormat="1" applyFont="1" applyFill="1" applyBorder="1"/>
    <xf numFmtId="171" fontId="3" fillId="14" borderId="71" xfId="6" applyNumberFormat="1" applyFont="1" applyFill="1" applyBorder="1"/>
    <xf numFmtId="171" fontId="12" fillId="0" borderId="70" xfId="6" applyNumberFormat="1" applyFont="1" applyFill="1" applyBorder="1"/>
    <xf numFmtId="171" fontId="3" fillId="14" borderId="70" xfId="6" applyNumberFormat="1" applyFont="1" applyFill="1" applyBorder="1"/>
    <xf numFmtId="171" fontId="12" fillId="12" borderId="70" xfId="6" applyNumberFormat="1" applyFill="1" applyBorder="1"/>
    <xf numFmtId="171" fontId="12" fillId="12" borderId="0" xfId="6" applyNumberFormat="1" applyFont="1" applyFill="1" applyBorder="1"/>
    <xf numFmtId="171" fontId="12" fillId="0" borderId="0" xfId="6" applyNumberFormat="1" applyFont="1" applyFill="1" applyBorder="1"/>
    <xf numFmtId="171" fontId="3" fillId="13" borderId="71" xfId="6" applyNumberFormat="1" applyFont="1" applyFill="1" applyBorder="1"/>
    <xf numFmtId="170" fontId="12" fillId="12" borderId="71" xfId="6" applyNumberFormat="1" applyFill="1" applyBorder="1"/>
    <xf numFmtId="170" fontId="12" fillId="12" borderId="69" xfId="6" applyNumberFormat="1" applyFill="1" applyBorder="1"/>
    <xf numFmtId="171" fontId="20" fillId="0" borderId="69" xfId="8" applyNumberFormat="1" applyFont="1" applyBorder="1"/>
    <xf numFmtId="171" fontId="3" fillId="14" borderId="3" xfId="6" applyNumberFormat="1" applyFont="1" applyFill="1" applyBorder="1"/>
    <xf numFmtId="171" fontId="12" fillId="0" borderId="69" xfId="6" applyNumberFormat="1" applyFont="1" applyFill="1" applyBorder="1"/>
    <xf numFmtId="10" fontId="12" fillId="12" borderId="71" xfId="6" applyNumberFormat="1" applyFill="1" applyBorder="1"/>
    <xf numFmtId="171" fontId="3" fillId="14" borderId="81" xfId="6" applyNumberFormat="1" applyFont="1" applyFill="1" applyBorder="1"/>
    <xf numFmtId="171" fontId="3" fillId="14" borderId="79" xfId="6" applyNumberFormat="1" applyFont="1" applyFill="1" applyBorder="1"/>
    <xf numFmtId="171" fontId="12" fillId="0" borderId="80" xfId="6" applyNumberFormat="1" applyFont="1" applyFill="1" applyBorder="1"/>
    <xf numFmtId="171" fontId="3" fillId="13" borderId="68" xfId="6" applyNumberFormat="1" applyFont="1" applyFill="1" applyBorder="1"/>
    <xf numFmtId="171" fontId="12" fillId="12" borderId="82" xfId="6" applyNumberFormat="1" applyFont="1" applyFill="1" applyBorder="1"/>
    <xf numFmtId="171" fontId="12" fillId="0" borderId="74" xfId="6" applyNumberFormat="1" applyFont="1" applyFill="1" applyBorder="1"/>
    <xf numFmtId="171" fontId="12" fillId="12" borderId="81" xfId="6" applyNumberFormat="1" applyFont="1" applyFill="1" applyBorder="1"/>
    <xf numFmtId="171" fontId="12" fillId="12" borderId="72" xfId="6" applyNumberFormat="1" applyFont="1" applyFill="1" applyBorder="1"/>
    <xf numFmtId="171" fontId="3" fillId="0" borderId="70" xfId="6" applyNumberFormat="1" applyFont="1" applyFill="1" applyBorder="1"/>
    <xf numFmtId="171" fontId="3" fillId="0" borderId="0" xfId="6" applyNumberFormat="1" applyFont="1" applyFill="1" applyBorder="1"/>
    <xf numFmtId="0" fontId="12" fillId="12" borderId="82" xfId="6" applyFill="1" applyBorder="1"/>
    <xf numFmtId="171" fontId="3" fillId="14" borderId="73" xfId="6" applyNumberFormat="1" applyFont="1" applyFill="1" applyBorder="1"/>
    <xf numFmtId="171" fontId="12" fillId="0" borderId="82" xfId="6" applyNumberFormat="1" applyBorder="1"/>
    <xf numFmtId="171" fontId="3" fillId="14" borderId="72" xfId="6" applyNumberFormat="1" applyFont="1" applyFill="1" applyBorder="1"/>
    <xf numFmtId="171" fontId="3" fillId="0" borderId="82" xfId="6" applyNumberFormat="1" applyFont="1" applyFill="1" applyBorder="1"/>
    <xf numFmtId="171" fontId="12" fillId="12" borderId="73" xfId="6" applyNumberFormat="1" applyFont="1" applyFill="1" applyBorder="1"/>
    <xf numFmtId="171" fontId="3" fillId="0" borderId="74" xfId="6" applyNumberFormat="1" applyFont="1" applyFill="1" applyBorder="1"/>
    <xf numFmtId="171" fontId="3" fillId="0" borderId="73" xfId="6" applyNumberFormat="1" applyFont="1" applyFill="1" applyBorder="1"/>
    <xf numFmtId="171" fontId="3" fillId="13" borderId="82" xfId="6" applyNumberFormat="1" applyFont="1" applyFill="1" applyBorder="1"/>
    <xf numFmtId="170" fontId="12" fillId="12" borderId="82" xfId="6" applyNumberFormat="1" applyFill="1" applyBorder="1"/>
    <xf numFmtId="37" fontId="12" fillId="0" borderId="0" xfId="6" applyNumberFormat="1" applyBorder="1"/>
    <xf numFmtId="37" fontId="12" fillId="12" borderId="0" xfId="6" applyNumberFormat="1" applyFill="1" applyBorder="1"/>
    <xf numFmtId="22" fontId="12" fillId="12" borderId="0" xfId="6" applyNumberFormat="1" applyFill="1" applyBorder="1"/>
    <xf numFmtId="15" fontId="12" fillId="12" borderId="0" xfId="6" applyNumberFormat="1" applyFill="1" applyBorder="1"/>
    <xf numFmtId="37" fontId="12" fillId="12" borderId="83" xfId="6" applyNumberFormat="1" applyFill="1" applyBorder="1"/>
    <xf numFmtId="170" fontId="12" fillId="0" borderId="0" xfId="6" applyNumberFormat="1" applyFill="1" applyBorder="1"/>
    <xf numFmtId="10" fontId="12" fillId="12" borderId="0" xfId="6" applyNumberFormat="1" applyFill="1" applyBorder="1"/>
    <xf numFmtId="7" fontId="22" fillId="0" borderId="2" xfId="10" applyNumberFormat="1" applyFont="1" applyBorder="1"/>
    <xf numFmtId="7" fontId="22" fillId="0" borderId="2" xfId="11" applyNumberFormat="1" applyFont="1" applyBorder="1"/>
    <xf numFmtId="7" fontId="22" fillId="0" borderId="2" xfId="13" applyNumberFormat="1" applyFont="1" applyBorder="1"/>
    <xf numFmtId="7" fontId="22" fillId="0" borderId="2" xfId="14" applyNumberFormat="1" applyFont="1" applyBorder="1"/>
    <xf numFmtId="7" fontId="22" fillId="0" borderId="2" xfId="16" applyNumberFormat="1" applyFont="1" applyBorder="1"/>
    <xf numFmtId="7" fontId="22" fillId="0" borderId="2" xfId="15" applyNumberFormat="1" applyFont="1" applyBorder="1"/>
    <xf numFmtId="171" fontId="12" fillId="12" borderId="84" xfId="6" applyNumberFormat="1" applyFill="1" applyBorder="1"/>
    <xf numFmtId="171" fontId="12" fillId="12" borderId="78" xfId="6" applyNumberFormat="1" applyFill="1" applyBorder="1"/>
    <xf numFmtId="7" fontId="22" fillId="0" borderId="82" xfId="12" applyNumberFormat="1" applyFont="1" applyBorder="1"/>
    <xf numFmtId="0" fontId="10" fillId="2" borderId="74" xfId="0" applyFont="1" applyFill="1" applyBorder="1" applyAlignment="1">
      <alignment horizontal="center"/>
    </xf>
    <xf numFmtId="0" fontId="6" fillId="0" borderId="19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43" fontId="12" fillId="0" borderId="0" xfId="17" applyFont="1"/>
    <xf numFmtId="0" fontId="6" fillId="0" borderId="19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3" fillId="0" borderId="15" xfId="2" applyFont="1" applyBorder="1"/>
    <xf numFmtId="0" fontId="3" fillId="0" borderId="7" xfId="2" applyFont="1" applyBorder="1"/>
    <xf numFmtId="3" fontId="6" fillId="0" borderId="85" xfId="2" applyNumberFormat="1" applyFont="1" applyBorder="1"/>
    <xf numFmtId="3" fontId="4" fillId="0" borderId="51" xfId="0" applyNumberFormat="1" applyFont="1" applyBorder="1"/>
    <xf numFmtId="3" fontId="6" fillId="0" borderId="51" xfId="2" applyNumberFormat="1" applyFont="1" applyBorder="1"/>
    <xf numFmtId="3" fontId="6" fillId="0" borderId="39" xfId="2" applyNumberFormat="1" applyFont="1" applyBorder="1"/>
    <xf numFmtId="168" fontId="4" fillId="0" borderId="12" xfId="1" applyNumberFormat="1" applyFont="1" applyBorder="1"/>
    <xf numFmtId="3" fontId="11" fillId="0" borderId="9" xfId="2" applyNumberFormat="1" applyFont="1" applyFill="1" applyBorder="1"/>
    <xf numFmtId="168" fontId="4" fillId="0" borderId="15" xfId="1" applyNumberFormat="1" applyFont="1" applyBorder="1"/>
    <xf numFmtId="168" fontId="6" fillId="0" borderId="18" xfId="1" applyNumberFormat="1" applyFont="1" applyBorder="1"/>
    <xf numFmtId="3" fontId="11" fillId="0" borderId="18" xfId="2" applyNumberFormat="1" applyFont="1" applyFill="1" applyBorder="1"/>
    <xf numFmtId="3" fontId="11" fillId="0" borderId="16" xfId="2" applyNumberFormat="1" applyFont="1" applyFill="1" applyBorder="1"/>
    <xf numFmtId="3" fontId="6" fillId="6" borderId="86" xfId="2" applyNumberFormat="1" applyFont="1" applyFill="1" applyBorder="1"/>
    <xf numFmtId="3" fontId="11" fillId="15" borderId="31" xfId="2" applyNumberFormat="1" applyFont="1" applyFill="1" applyBorder="1" applyAlignment="1">
      <alignment horizontal="center"/>
    </xf>
    <xf numFmtId="3" fontId="11" fillId="15" borderId="34" xfId="2" applyNumberFormat="1" applyFont="1" applyFill="1" applyBorder="1" applyAlignment="1">
      <alignment horizontal="center"/>
    </xf>
    <xf numFmtId="3" fontId="11" fillId="15" borderId="0" xfId="2" applyNumberFormat="1" applyFont="1" applyFill="1" applyBorder="1" applyAlignment="1">
      <alignment horizontal="center"/>
    </xf>
    <xf numFmtId="3" fontId="11" fillId="15" borderId="35" xfId="2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9" fillId="9" borderId="45" xfId="18" applyFont="1" applyFill="1" applyBorder="1"/>
    <xf numFmtId="0" fontId="19" fillId="9" borderId="50" xfId="18" applyFont="1" applyFill="1" applyBorder="1"/>
    <xf numFmtId="0" fontId="19" fillId="9" borderId="54" xfId="18" applyFont="1" applyFill="1" applyBorder="1"/>
    <xf numFmtId="0" fontId="17" fillId="8" borderId="15" xfId="19" applyFont="1" applyFill="1" applyBorder="1" applyAlignment="1">
      <alignment horizontal="center" wrapText="1"/>
    </xf>
    <xf numFmtId="0" fontId="17" fillId="8" borderId="60" xfId="18" applyFont="1" applyFill="1" applyBorder="1" applyAlignment="1">
      <alignment horizontal="center"/>
    </xf>
    <xf numFmtId="0" fontId="19" fillId="9" borderId="61" xfId="18" applyFont="1" applyFill="1" applyBorder="1"/>
    <xf numFmtId="0" fontId="3" fillId="2" borderId="0" xfId="0" quotePrefix="1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40" xfId="2" applyFont="1" applyFill="1" applyBorder="1" applyAlignment="1">
      <alignment horizontal="center"/>
    </xf>
    <xf numFmtId="0" fontId="4" fillId="2" borderId="41" xfId="2" applyFill="1" applyBorder="1" applyAlignment="1">
      <alignment horizontal="center"/>
    </xf>
    <xf numFmtId="0" fontId="4" fillId="2" borderId="25" xfId="2" applyFont="1" applyFill="1" applyBorder="1" applyAlignment="1">
      <alignment horizontal="center"/>
    </xf>
    <xf numFmtId="0" fontId="4" fillId="2" borderId="26" xfId="2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4" fillId="2" borderId="25" xfId="2" applyFill="1" applyBorder="1" applyAlignment="1">
      <alignment horizontal="center"/>
    </xf>
    <xf numFmtId="0" fontId="4" fillId="2" borderId="26" xfId="2" applyFill="1" applyBorder="1" applyAlignment="1">
      <alignment horizontal="center"/>
    </xf>
    <xf numFmtId="9" fontId="4" fillId="2" borderId="25" xfId="2" applyNumberFormat="1" applyFill="1" applyBorder="1" applyAlignment="1">
      <alignment horizontal="center"/>
    </xf>
    <xf numFmtId="9" fontId="4" fillId="2" borderId="26" xfId="2" applyNumberForma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6" fillId="0" borderId="19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0" fontId="18" fillId="0" borderId="0" xfId="4" applyFont="1" applyFill="1" applyAlignment="1">
      <alignment horizontal="left" vertical="center" wrapText="1"/>
    </xf>
    <xf numFmtId="0" fontId="11" fillId="0" borderId="42" xfId="2" applyFont="1" applyFill="1" applyBorder="1" applyAlignment="1">
      <alignment horizontal="center" vertical="center" wrapText="1"/>
    </xf>
    <xf numFmtId="0" fontId="11" fillId="0" borderId="31" xfId="2" applyFont="1" applyFill="1" applyBorder="1" applyAlignment="1">
      <alignment horizontal="center" vertical="center" wrapText="1"/>
    </xf>
    <xf numFmtId="0" fontId="11" fillId="0" borderId="43" xfId="2" applyFont="1" applyFill="1" applyBorder="1" applyAlignment="1">
      <alignment horizontal="center" vertical="center" wrapText="1"/>
    </xf>
    <xf numFmtId="0" fontId="11" fillId="0" borderId="32" xfId="2" applyFont="1" applyFill="1" applyBorder="1" applyAlignment="1">
      <alignment horizontal="center" vertical="center" wrapText="1"/>
    </xf>
    <xf numFmtId="0" fontId="11" fillId="0" borderId="44" xfId="2" applyFont="1" applyFill="1" applyBorder="1" applyAlignment="1">
      <alignment horizontal="center" vertical="center" wrapText="1"/>
    </xf>
    <xf numFmtId="0" fontId="11" fillId="0" borderId="30" xfId="2" applyFont="1" applyFill="1" applyBorder="1" applyAlignment="1">
      <alignment horizontal="center" vertical="center" wrapText="1"/>
    </xf>
    <xf numFmtId="0" fontId="15" fillId="0" borderId="0" xfId="4" applyFont="1" applyAlignment="1">
      <alignment horizontal="center"/>
    </xf>
    <xf numFmtId="0" fontId="16" fillId="0" borderId="1" xfId="4" applyFont="1" applyBorder="1" applyAlignment="1">
      <alignment horizontal="center"/>
    </xf>
    <xf numFmtId="0" fontId="14" fillId="0" borderId="1" xfId="4" applyFill="1" applyBorder="1" applyAlignment="1">
      <alignment horizontal="center"/>
    </xf>
    <xf numFmtId="0" fontId="24" fillId="0" borderId="0" xfId="4" applyFont="1" applyFill="1" applyAlignment="1">
      <alignment horizontal="left"/>
    </xf>
    <xf numFmtId="0" fontId="12" fillId="0" borderId="71" xfId="6" applyFill="1" applyBorder="1" applyAlignment="1">
      <alignment horizontal="center"/>
    </xf>
    <xf numFmtId="0" fontId="12" fillId="13" borderId="68" xfId="6" applyFont="1" applyFill="1" applyBorder="1" applyAlignment="1">
      <alignment horizontal="center"/>
    </xf>
  </cellXfs>
  <cellStyles count="20">
    <cellStyle name="Comma" xfId="1" builtinId="3"/>
    <cellStyle name="Comma 2" xfId="5"/>
    <cellStyle name="Comma 3" xfId="17"/>
    <cellStyle name="Currency 2" xfId="9"/>
    <cellStyle name="Normal" xfId="0" builtinId="0"/>
    <cellStyle name="Normal 11" xfId="16"/>
    <cellStyle name="Normal 2" xfId="4"/>
    <cellStyle name="Normal 2 2" xfId="6"/>
    <cellStyle name="Normal 3" xfId="7"/>
    <cellStyle name="Normal 4" xfId="10"/>
    <cellStyle name="Normal 5" xfId="11"/>
    <cellStyle name="Normal 6" xfId="12"/>
    <cellStyle name="Normal 7" xfId="13"/>
    <cellStyle name="Normal 8" xfId="14"/>
    <cellStyle name="Normal 9" xfId="15"/>
    <cellStyle name="Normal_2008 OAA award with additional tabs" xfId="2"/>
    <cellStyle name="Normal_2008 OAA award with additional tabs 2 2" xfId="19"/>
    <cellStyle name="Normal_2008 with carryfor and trans" xfId="8"/>
    <cellStyle name="Normal_Sheet2 2" xfId="18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HIEF\Bud082009\2008%20OAA\2008%20oaa%20allocation%20with%20carryforwards%20and%20transfer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aa 2008 original"/>
      <sheetName val="oaa 2008 transers"/>
      <sheetName val="2008 with carryfor and trans"/>
      <sheetName val="2008 Svcs Formula"/>
      <sheetName val="IIID Prevention "/>
      <sheetName val="new 2008 factors"/>
      <sheetName val="OAA updated"/>
      <sheetName val="2008 Svcs and Adm Alloca  updat"/>
      <sheetName val="2008 Admin Formula _2_"/>
      <sheetName val="2008 Admin Formula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7">
          <cell r="Z17">
            <v>6669151</v>
          </cell>
        </row>
        <row r="19">
          <cell r="Z19">
            <v>5935396</v>
          </cell>
        </row>
        <row r="21">
          <cell r="Z21">
            <v>5479911</v>
          </cell>
        </row>
        <row r="23">
          <cell r="Z23">
            <v>7623328</v>
          </cell>
        </row>
        <row r="25">
          <cell r="Z25">
            <v>5678359</v>
          </cell>
        </row>
        <row r="27">
          <cell r="Z27">
            <v>5829698</v>
          </cell>
        </row>
        <row r="29">
          <cell r="Z29">
            <v>6962903</v>
          </cell>
        </row>
        <row r="31">
          <cell r="Z31">
            <v>5747243</v>
          </cell>
        </row>
        <row r="33">
          <cell r="Z33">
            <v>13265512</v>
          </cell>
        </row>
      </sheetData>
      <sheetData sheetId="8" refreshError="1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7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E26" sqref="E26"/>
    </sheetView>
  </sheetViews>
  <sheetFormatPr defaultColWidth="11.5546875" defaultRowHeight="12.75"/>
  <cols>
    <col min="1" max="1" width="40.6640625" style="101" customWidth="1"/>
    <col min="2" max="2" width="15" style="101" customWidth="1"/>
    <col min="3" max="4" width="14.109375" style="101" customWidth="1"/>
    <col min="5" max="5" width="14.6640625" style="101" customWidth="1"/>
    <col min="6" max="6" width="14" style="101" customWidth="1"/>
    <col min="7" max="7" width="16.21875" style="101" customWidth="1"/>
    <col min="8" max="8" width="15.77734375" style="101" customWidth="1"/>
    <col min="9" max="9" width="15" style="101" customWidth="1"/>
    <col min="10" max="10" width="12.109375" style="101" customWidth="1"/>
    <col min="11" max="11" width="15.88671875" style="101" customWidth="1"/>
    <col min="12" max="12" width="12.33203125" style="101" customWidth="1"/>
    <col min="13" max="16384" width="11.5546875" style="101"/>
  </cols>
  <sheetData>
    <row r="1" spans="1:11" ht="18">
      <c r="I1" s="102"/>
    </row>
    <row r="2" spans="1:11" ht="13.5" thickBot="1"/>
    <row r="3" spans="1:11" ht="16.5" thickBot="1">
      <c r="A3" s="410" t="s">
        <v>259</v>
      </c>
      <c r="B3" s="104"/>
      <c r="D3" s="101" t="s">
        <v>89</v>
      </c>
    </row>
    <row r="4" spans="1:11" ht="16.5" thickBot="1">
      <c r="A4" s="411" t="s">
        <v>279</v>
      </c>
      <c r="B4" s="105"/>
    </row>
    <row r="5" spans="1:11" ht="18">
      <c r="D5" s="106"/>
      <c r="E5" s="107"/>
      <c r="I5" s="108"/>
    </row>
    <row r="6" spans="1:11" ht="13.5" thickBot="1"/>
    <row r="7" spans="1:11">
      <c r="A7" s="109"/>
      <c r="B7" s="110" t="s">
        <v>90</v>
      </c>
      <c r="C7" s="408" t="s">
        <v>91</v>
      </c>
      <c r="D7" s="408" t="s">
        <v>92</v>
      </c>
      <c r="E7" s="408" t="s">
        <v>93</v>
      </c>
      <c r="F7" s="408" t="s">
        <v>94</v>
      </c>
      <c r="G7" s="408" t="s">
        <v>95</v>
      </c>
      <c r="H7" s="408" t="s">
        <v>96</v>
      </c>
      <c r="I7" s="408" t="s">
        <v>96</v>
      </c>
    </row>
    <row r="8" spans="1:11">
      <c r="A8" s="112"/>
      <c r="B8" s="113" t="s">
        <v>97</v>
      </c>
      <c r="C8" s="409" t="s">
        <v>98</v>
      </c>
      <c r="D8" s="409" t="s">
        <v>99</v>
      </c>
      <c r="E8" s="409" t="s">
        <v>100</v>
      </c>
      <c r="F8" s="409" t="s">
        <v>101</v>
      </c>
      <c r="G8" s="409" t="s">
        <v>55</v>
      </c>
      <c r="H8" s="409" t="s">
        <v>102</v>
      </c>
      <c r="I8" s="409" t="s">
        <v>103</v>
      </c>
    </row>
    <row r="9" spans="1:11" ht="16.5" thickBot="1">
      <c r="A9" s="112" t="s">
        <v>104</v>
      </c>
      <c r="B9" s="115" t="s">
        <v>105</v>
      </c>
      <c r="C9" s="116" t="s">
        <v>106</v>
      </c>
      <c r="D9" s="116" t="s">
        <v>107</v>
      </c>
      <c r="E9" s="116" t="s">
        <v>107</v>
      </c>
      <c r="F9" s="116" t="s">
        <v>108</v>
      </c>
      <c r="G9" s="116" t="s">
        <v>109</v>
      </c>
      <c r="H9" s="116" t="s">
        <v>110</v>
      </c>
      <c r="I9" s="116" t="s">
        <v>111</v>
      </c>
    </row>
    <row r="10" spans="1:11" ht="13.5" thickTop="1">
      <c r="A10" s="112"/>
      <c r="B10" s="117"/>
      <c r="C10" s="118"/>
      <c r="D10" s="118"/>
      <c r="E10" s="118"/>
      <c r="F10" s="118"/>
      <c r="G10" s="118"/>
      <c r="H10" s="118"/>
      <c r="I10" s="118"/>
    </row>
    <row r="11" spans="1:11">
      <c r="A11" s="119" t="s">
        <v>280</v>
      </c>
      <c r="B11" s="120">
        <f>SUM(C11:I11)</f>
        <v>88679217</v>
      </c>
      <c r="C11" s="121">
        <v>26156381</v>
      </c>
      <c r="D11" s="121">
        <v>31377920</v>
      </c>
      <c r="E11" s="121">
        <v>15778524</v>
      </c>
      <c r="F11" s="121">
        <v>1554456</v>
      </c>
      <c r="G11" s="121">
        <v>12230935</v>
      </c>
      <c r="H11" s="121">
        <v>1219737</v>
      </c>
      <c r="I11" s="121">
        <v>361264</v>
      </c>
    </row>
    <row r="12" spans="1:11">
      <c r="A12" s="119" t="s">
        <v>133</v>
      </c>
      <c r="B12" s="120">
        <f>SUM(C12:I12)</f>
        <v>90007025</v>
      </c>
      <c r="C12" s="121">
        <v>26577730</v>
      </c>
      <c r="D12" s="121">
        <v>31814346</v>
      </c>
      <c r="E12" s="121">
        <v>16031256</v>
      </c>
      <c r="F12" s="121">
        <v>1557571</v>
      </c>
      <c r="G12" s="121">
        <v>12419421</v>
      </c>
      <c r="H12" s="121">
        <v>1239282</v>
      </c>
      <c r="I12" s="121">
        <v>367419</v>
      </c>
    </row>
    <row r="13" spans="1:11">
      <c r="A13" s="119" t="s">
        <v>112</v>
      </c>
      <c r="B13" s="215">
        <f t="shared" ref="B13:I13" si="0">B11-B12</f>
        <v>-1327808</v>
      </c>
      <c r="C13" s="212">
        <f t="shared" si="0"/>
        <v>-421349</v>
      </c>
      <c r="D13" s="212">
        <f t="shared" si="0"/>
        <v>-436426</v>
      </c>
      <c r="E13" s="212">
        <f t="shared" si="0"/>
        <v>-252732</v>
      </c>
      <c r="F13" s="212">
        <f t="shared" si="0"/>
        <v>-3115</v>
      </c>
      <c r="G13" s="212">
        <f t="shared" si="0"/>
        <v>-188486</v>
      </c>
      <c r="H13" s="212">
        <f t="shared" si="0"/>
        <v>-19545</v>
      </c>
      <c r="I13" s="212">
        <f t="shared" si="0"/>
        <v>-6155</v>
      </c>
      <c r="J13" s="118"/>
      <c r="K13" s="118"/>
    </row>
    <row r="14" spans="1:11">
      <c r="A14" s="119"/>
      <c r="B14" s="122"/>
      <c r="C14" s="123"/>
      <c r="D14" s="123"/>
      <c r="E14" s="123"/>
      <c r="F14" s="123"/>
      <c r="G14" s="123"/>
      <c r="H14" s="123"/>
      <c r="I14" s="123"/>
    </row>
    <row r="15" spans="1:11">
      <c r="A15" s="119"/>
      <c r="B15" s="122"/>
      <c r="C15" s="123"/>
      <c r="D15" s="123"/>
      <c r="E15" s="123"/>
      <c r="F15" s="123"/>
      <c r="G15" s="123"/>
      <c r="H15" s="123"/>
      <c r="I15" s="123"/>
    </row>
    <row r="16" spans="1:11">
      <c r="A16" s="119" t="s">
        <v>278</v>
      </c>
      <c r="B16" s="412">
        <f>ROUND(SUM(C11:G11)*0.05,)</f>
        <v>4354911</v>
      </c>
      <c r="C16" s="413">
        <v>10704</v>
      </c>
      <c r="D16" s="413">
        <v>1231642</v>
      </c>
      <c r="E16" s="413">
        <v>790344</v>
      </c>
      <c r="F16" s="413">
        <v>30614</v>
      </c>
      <c r="G16" s="413">
        <v>2291607</v>
      </c>
      <c r="H16" s="414"/>
      <c r="I16" s="415">
        <v>0</v>
      </c>
    </row>
    <row r="17" spans="1:13">
      <c r="A17" s="112"/>
      <c r="B17" s="215"/>
      <c r="C17" s="212"/>
      <c r="D17" s="121"/>
      <c r="E17" s="121"/>
      <c r="F17" s="121"/>
      <c r="G17" s="121"/>
      <c r="H17" s="121"/>
      <c r="I17" s="121"/>
    </row>
    <row r="18" spans="1:13" s="214" customFormat="1">
      <c r="A18" s="119"/>
      <c r="B18" s="412">
        <f>SUM(C18:G18)</f>
        <v>4354911</v>
      </c>
      <c r="C18" s="213">
        <f>C16+C17</f>
        <v>10704</v>
      </c>
      <c r="D18" s="213">
        <f t="shared" ref="D18:I18" si="1">D16+D17</f>
        <v>1231642</v>
      </c>
      <c r="E18" s="213">
        <f t="shared" si="1"/>
        <v>790344</v>
      </c>
      <c r="F18" s="213">
        <f t="shared" si="1"/>
        <v>30614</v>
      </c>
      <c r="G18" s="213">
        <f t="shared" si="1"/>
        <v>2291607</v>
      </c>
      <c r="H18" s="213">
        <f t="shared" si="1"/>
        <v>0</v>
      </c>
      <c r="I18" s="213">
        <f t="shared" si="1"/>
        <v>0</v>
      </c>
    </row>
    <row r="19" spans="1:13">
      <c r="A19" s="112"/>
      <c r="B19" s="120"/>
      <c r="C19" s="121"/>
      <c r="D19" s="121"/>
      <c r="E19" s="121"/>
      <c r="F19" s="121"/>
      <c r="G19" s="121"/>
      <c r="H19" s="121"/>
      <c r="I19" s="121"/>
    </row>
    <row r="20" spans="1:13" ht="15.75">
      <c r="A20" s="112" t="s">
        <v>113</v>
      </c>
      <c r="B20" s="120">
        <f>SUM(C20:I20)</f>
        <v>1624397</v>
      </c>
      <c r="C20" s="121">
        <v>404660</v>
      </c>
      <c r="D20" s="126"/>
      <c r="E20" s="121"/>
      <c r="F20" s="121"/>
      <c r="G20" s="121"/>
      <c r="H20" s="121">
        <f>H11</f>
        <v>1219737</v>
      </c>
      <c r="I20" s="121"/>
      <c r="J20" s="118"/>
      <c r="K20" s="118"/>
    </row>
    <row r="21" spans="1:13">
      <c r="A21" s="112" t="s">
        <v>114</v>
      </c>
      <c r="B21" s="120">
        <f>SUM(C21:I21)</f>
        <v>361264</v>
      </c>
      <c r="C21" s="121"/>
      <c r="D21" s="121"/>
      <c r="E21" s="121"/>
      <c r="F21" s="121"/>
      <c r="G21" s="121"/>
      <c r="H21" s="121"/>
      <c r="I21" s="121">
        <f>I11</f>
        <v>361264</v>
      </c>
    </row>
    <row r="22" spans="1:13" ht="15.75">
      <c r="A22" s="112"/>
      <c r="B22" s="120"/>
      <c r="C22" s="121" t="s">
        <v>1</v>
      </c>
      <c r="D22" s="121"/>
      <c r="E22" s="121"/>
      <c r="F22" s="121"/>
      <c r="G22" s="126"/>
      <c r="H22" s="121"/>
      <c r="I22" s="121"/>
    </row>
    <row r="23" spans="1:13">
      <c r="A23" s="112"/>
      <c r="B23" s="120"/>
      <c r="C23" s="121"/>
      <c r="D23" s="121"/>
      <c r="E23" s="121"/>
      <c r="F23" s="121"/>
      <c r="G23" s="121"/>
      <c r="H23" s="121"/>
      <c r="I23" s="121"/>
    </row>
    <row r="24" spans="1:13">
      <c r="A24" s="119" t="s">
        <v>115</v>
      </c>
      <c r="B24" s="127">
        <f>B11-B18-B20-B21</f>
        <v>82338645</v>
      </c>
      <c r="C24" s="128">
        <f>SUM(C11-C18-C20)</f>
        <v>25741017</v>
      </c>
      <c r="D24" s="128">
        <f>SUM(D11-D16)</f>
        <v>30146278</v>
      </c>
      <c r="E24" s="128">
        <f>SUM(E11-E16)</f>
        <v>14988180</v>
      </c>
      <c r="F24" s="128">
        <f>SUM(F11-F16)</f>
        <v>1523842</v>
      </c>
      <c r="G24" s="128">
        <f>SUM(G11-G16)</f>
        <v>9939328</v>
      </c>
      <c r="H24" s="128">
        <v>0</v>
      </c>
      <c r="I24" s="128">
        <v>0</v>
      </c>
    </row>
    <row r="25" spans="1:13">
      <c r="A25" s="112" t="s">
        <v>116</v>
      </c>
      <c r="B25" s="422">
        <f>ROUND(B24*0.1,0)</f>
        <v>8233865</v>
      </c>
      <c r="C25" s="130">
        <v>2270578</v>
      </c>
      <c r="D25" s="130">
        <v>3149542</v>
      </c>
      <c r="E25" s="130">
        <v>1490388</v>
      </c>
      <c r="F25" s="130"/>
      <c r="G25" s="130">
        <v>1323357</v>
      </c>
      <c r="H25" s="130"/>
      <c r="I25" s="130"/>
    </row>
    <row r="26" spans="1:13" ht="13.5" thickBot="1">
      <c r="A26" s="131" t="s">
        <v>262</v>
      </c>
      <c r="B26" s="132">
        <f>B24-B25</f>
        <v>74104780</v>
      </c>
      <c r="C26" s="133">
        <f>C24-C25</f>
        <v>23470439</v>
      </c>
      <c r="D26" s="133">
        <f t="shared" ref="D26:I26" si="2">D24-D25</f>
        <v>26996736</v>
      </c>
      <c r="E26" s="133">
        <f t="shared" si="2"/>
        <v>13497792</v>
      </c>
      <c r="F26" s="133">
        <f t="shared" si="2"/>
        <v>1523842</v>
      </c>
      <c r="G26" s="133">
        <f t="shared" si="2"/>
        <v>8615971</v>
      </c>
      <c r="H26" s="133">
        <f t="shared" si="2"/>
        <v>0</v>
      </c>
      <c r="I26" s="133">
        <f t="shared" si="2"/>
        <v>0</v>
      </c>
    </row>
    <row r="27" spans="1:13" ht="13.5" thickBot="1">
      <c r="B27" s="134"/>
      <c r="C27" s="134"/>
      <c r="D27" s="134"/>
      <c r="E27" s="134"/>
      <c r="F27" s="134"/>
      <c r="G27" s="134"/>
      <c r="H27" s="134"/>
      <c r="I27" s="134"/>
    </row>
    <row r="28" spans="1:13" s="136" customFormat="1" ht="13.5" thickBot="1">
      <c r="A28" s="418" t="s">
        <v>217</v>
      </c>
      <c r="B28" s="419">
        <f>SUM(C28:G28)</f>
        <v>75218083</v>
      </c>
      <c r="C28" s="420">
        <v>23857516</v>
      </c>
      <c r="D28" s="420">
        <v>27367433</v>
      </c>
      <c r="E28" s="420">
        <v>13716318</v>
      </c>
      <c r="F28" s="420">
        <v>1526500</v>
      </c>
      <c r="G28" s="420">
        <v>8750316</v>
      </c>
      <c r="H28" s="420">
        <v>0</v>
      </c>
      <c r="I28" s="421">
        <v>0</v>
      </c>
    </row>
    <row r="29" spans="1:13" ht="13.5" thickBot="1">
      <c r="A29" s="137" t="s">
        <v>112</v>
      </c>
      <c r="B29" s="138"/>
      <c r="C29" s="139">
        <f>C26-C28</f>
        <v>-387077</v>
      </c>
      <c r="D29" s="139">
        <f>D26-D28</f>
        <v>-370697</v>
      </c>
      <c r="E29" s="139">
        <f>E26-E28</f>
        <v>-218526</v>
      </c>
      <c r="F29" s="139">
        <f>F26-F28</f>
        <v>-2658</v>
      </c>
      <c r="G29" s="139">
        <f>G26-G28</f>
        <v>-134345</v>
      </c>
      <c r="H29" s="140"/>
      <c r="I29" s="105"/>
      <c r="J29" s="141"/>
      <c r="K29" s="121"/>
      <c r="L29" s="121"/>
      <c r="M29" s="118"/>
    </row>
    <row r="30" spans="1:13" ht="15.75">
      <c r="A30" s="118"/>
      <c r="B30" s="118"/>
      <c r="C30" s="118"/>
      <c r="D30" s="118"/>
      <c r="E30" s="118"/>
      <c r="G30" s="142" t="s">
        <v>117</v>
      </c>
      <c r="H30" s="141"/>
      <c r="I30" s="143"/>
      <c r="J30" s="144"/>
      <c r="K30" s="145"/>
      <c r="L30" s="145"/>
      <c r="M30" s="409"/>
    </row>
    <row r="31" spans="1:13" ht="13.5" thickBot="1">
      <c r="A31" s="118"/>
      <c r="B31" s="121"/>
      <c r="C31" s="121"/>
      <c r="D31" s="121"/>
      <c r="E31" s="121"/>
      <c r="G31" s="221" t="s">
        <v>265</v>
      </c>
      <c r="H31" s="146"/>
      <c r="I31" s="219" t="s">
        <v>266</v>
      </c>
      <c r="J31" s="145"/>
      <c r="K31" s="145"/>
      <c r="L31" s="145"/>
      <c r="M31" s="409"/>
    </row>
    <row r="32" spans="1:13">
      <c r="A32" s="118"/>
      <c r="B32" s="121"/>
      <c r="C32" s="121"/>
      <c r="D32" s="121"/>
      <c r="E32" s="121"/>
      <c r="G32" s="147" t="s">
        <v>64</v>
      </c>
      <c r="H32" s="148" t="s">
        <v>118</v>
      </c>
      <c r="I32" s="149" t="s">
        <v>119</v>
      </c>
      <c r="J32" s="145"/>
      <c r="K32" s="121"/>
      <c r="L32" s="121"/>
      <c r="M32" s="150"/>
    </row>
    <row r="33" spans="1:13">
      <c r="A33" s="118"/>
      <c r="B33" s="121"/>
      <c r="C33" s="121"/>
      <c r="D33" s="121"/>
      <c r="E33" s="121"/>
      <c r="G33" s="147">
        <v>1</v>
      </c>
      <c r="H33" s="148" t="s">
        <v>267</v>
      </c>
      <c r="I33" s="143">
        <v>22000</v>
      </c>
      <c r="J33" s="145"/>
      <c r="K33" s="121"/>
      <c r="L33" s="121"/>
      <c r="M33" s="150"/>
    </row>
    <row r="34" spans="1:13">
      <c r="G34" s="147">
        <v>2</v>
      </c>
      <c r="H34" s="148" t="s">
        <v>268</v>
      </c>
      <c r="I34" s="143">
        <v>22000</v>
      </c>
      <c r="J34" s="145"/>
      <c r="K34" s="121"/>
      <c r="L34" s="121"/>
      <c r="M34" s="150"/>
    </row>
    <row r="35" spans="1:13">
      <c r="A35" s="151" t="s">
        <v>120</v>
      </c>
      <c r="G35" s="147">
        <v>3</v>
      </c>
      <c r="H35" s="152" t="s">
        <v>269</v>
      </c>
      <c r="I35" s="143">
        <v>22000</v>
      </c>
      <c r="J35" s="145"/>
      <c r="K35" s="121"/>
      <c r="L35" s="121"/>
      <c r="M35" s="150"/>
    </row>
    <row r="36" spans="1:13">
      <c r="A36" s="101" t="s">
        <v>121</v>
      </c>
      <c r="G36" s="147">
        <v>4</v>
      </c>
      <c r="H36" s="152" t="s">
        <v>270</v>
      </c>
      <c r="I36" s="143">
        <v>22000</v>
      </c>
      <c r="J36" s="145"/>
      <c r="K36" s="121"/>
      <c r="L36" s="121"/>
      <c r="M36" s="150"/>
    </row>
    <row r="37" spans="1:13">
      <c r="A37" s="262" t="s">
        <v>281</v>
      </c>
      <c r="G37" s="147">
        <v>5</v>
      </c>
      <c r="H37" s="152" t="s">
        <v>271</v>
      </c>
      <c r="I37" s="143">
        <v>22000</v>
      </c>
      <c r="J37" s="145"/>
      <c r="K37" s="121"/>
      <c r="L37" s="121"/>
      <c r="M37" s="150"/>
    </row>
    <row r="38" spans="1:13">
      <c r="A38" s="101" t="s">
        <v>122</v>
      </c>
      <c r="G38" s="147">
        <v>6</v>
      </c>
      <c r="H38" s="152" t="s">
        <v>272</v>
      </c>
      <c r="I38" s="143">
        <v>22000</v>
      </c>
      <c r="J38" s="145"/>
      <c r="K38" s="121"/>
      <c r="L38" s="121"/>
      <c r="M38" s="150"/>
    </row>
    <row r="39" spans="1:13">
      <c r="A39" s="261" t="s">
        <v>282</v>
      </c>
      <c r="G39" s="147">
        <v>7</v>
      </c>
      <c r="H39" s="152" t="s">
        <v>273</v>
      </c>
      <c r="I39" s="143">
        <v>22000</v>
      </c>
      <c r="J39" s="145"/>
      <c r="K39" s="121"/>
      <c r="L39" s="121"/>
      <c r="M39" s="150"/>
    </row>
    <row r="40" spans="1:13">
      <c r="A40" s="262" t="s">
        <v>263</v>
      </c>
      <c r="G40" s="147">
        <v>8</v>
      </c>
      <c r="H40" s="152" t="s">
        <v>274</v>
      </c>
      <c r="I40" s="143">
        <v>22000</v>
      </c>
      <c r="J40" s="145"/>
      <c r="K40" s="121"/>
      <c r="L40" s="121"/>
      <c r="M40" s="150"/>
    </row>
    <row r="41" spans="1:13">
      <c r="G41" s="147">
        <v>9</v>
      </c>
      <c r="H41" s="152" t="s">
        <v>275</v>
      </c>
      <c r="I41" s="143">
        <v>22000</v>
      </c>
      <c r="J41" s="145"/>
      <c r="K41" s="121"/>
      <c r="L41" s="121"/>
      <c r="M41" s="150"/>
    </row>
    <row r="42" spans="1:13">
      <c r="G42" s="147">
        <v>10</v>
      </c>
      <c r="H42" s="152" t="s">
        <v>276</v>
      </c>
      <c r="I42" s="143">
        <v>22000</v>
      </c>
      <c r="J42" s="145"/>
      <c r="K42" s="121"/>
      <c r="L42" s="121"/>
      <c r="M42" s="150"/>
    </row>
    <row r="43" spans="1:13" ht="13.5" thickBot="1">
      <c r="G43" s="153">
        <v>11</v>
      </c>
      <c r="H43" s="154" t="s">
        <v>277</v>
      </c>
      <c r="I43" s="143">
        <v>22000</v>
      </c>
      <c r="J43" s="155"/>
      <c r="K43" s="121"/>
      <c r="L43" s="156"/>
      <c r="M43" s="150"/>
    </row>
    <row r="44" spans="1:13">
      <c r="A44" s="220"/>
      <c r="G44" s="157"/>
      <c r="H44" s="158"/>
      <c r="I44" s="159"/>
      <c r="J44" s="121"/>
      <c r="K44" s="121"/>
      <c r="L44" s="121"/>
      <c r="M44" s="150"/>
    </row>
    <row r="45" spans="1:13" ht="15.75">
      <c r="A45" s="107"/>
      <c r="G45" s="160" t="s">
        <v>123</v>
      </c>
      <c r="H45" s="141"/>
      <c r="I45" s="161">
        <f>SUM(I33:I43)</f>
        <v>242000</v>
      </c>
      <c r="J45" s="162"/>
      <c r="K45" s="118"/>
      <c r="L45" s="118"/>
      <c r="M45" s="118"/>
    </row>
    <row r="46" spans="1:13">
      <c r="B46" s="101" t="s">
        <v>1</v>
      </c>
      <c r="G46" s="112" t="s">
        <v>124</v>
      </c>
      <c r="H46" s="118"/>
      <c r="I46" s="163">
        <f>I11-I45</f>
        <v>119264</v>
      </c>
      <c r="J46" s="118"/>
      <c r="K46" s="118"/>
      <c r="L46" s="118"/>
      <c r="M46" s="118"/>
    </row>
    <row r="47" spans="1:13" ht="13.5" thickBot="1">
      <c r="A47" s="164"/>
      <c r="B47" s="101" t="s">
        <v>1</v>
      </c>
      <c r="G47" s="137" t="s">
        <v>125</v>
      </c>
      <c r="H47" s="140"/>
      <c r="I47" s="165">
        <f>SUM(I45:I46)</f>
        <v>361264</v>
      </c>
      <c r="J47" s="118"/>
      <c r="K47" s="118"/>
      <c r="L47" s="118"/>
      <c r="M47" s="118"/>
    </row>
  </sheetData>
  <pageMargins left="0.75" right="0.75" top="1" bottom="1" header="0.5" footer="0.5"/>
  <pageSetup paperSize="5" scale="74" orientation="landscape" r:id="rId1"/>
  <headerFooter alignWithMargins="0">
    <oddFooter>&amp;L&amp;D &amp;T &amp;F 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47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14" sqref="A14"/>
    </sheetView>
  </sheetViews>
  <sheetFormatPr defaultColWidth="11.5546875" defaultRowHeight="12.75"/>
  <cols>
    <col min="1" max="1" width="40.6640625" style="101" customWidth="1"/>
    <col min="2" max="2" width="15" style="101" customWidth="1"/>
    <col min="3" max="4" width="14.109375" style="101" customWidth="1"/>
    <col min="5" max="5" width="14.6640625" style="101" customWidth="1"/>
    <col min="6" max="6" width="14" style="101" customWidth="1"/>
    <col min="7" max="7" width="16.21875" style="101" customWidth="1"/>
    <col min="8" max="8" width="15.77734375" style="101" customWidth="1"/>
    <col min="9" max="9" width="15" style="101" customWidth="1"/>
    <col min="10" max="10" width="12.109375" style="101" customWidth="1"/>
    <col min="11" max="11" width="15.88671875" style="101" customWidth="1"/>
    <col min="12" max="12" width="12.33203125" style="101" customWidth="1"/>
    <col min="13" max="16384" width="11.5546875" style="101"/>
  </cols>
  <sheetData>
    <row r="1" spans="1:11" ht="18">
      <c r="I1" s="102"/>
    </row>
    <row r="2" spans="1:11" ht="13.5" thickBot="1"/>
    <row r="3" spans="1:11" ht="16.5" thickBot="1">
      <c r="A3" s="103" t="s">
        <v>132</v>
      </c>
      <c r="B3" s="104"/>
      <c r="D3" s="101" t="s">
        <v>89</v>
      </c>
    </row>
    <row r="4" spans="1:11" ht="16.5" thickBot="1">
      <c r="A4" s="411" t="s">
        <v>260</v>
      </c>
      <c r="B4" s="105"/>
    </row>
    <row r="5" spans="1:11" ht="18">
      <c r="D5" s="106"/>
      <c r="E5" s="107"/>
      <c r="I5" s="108"/>
    </row>
    <row r="6" spans="1:11" ht="13.5" thickBot="1"/>
    <row r="7" spans="1:11">
      <c r="A7" s="109"/>
      <c r="B7" s="110" t="s">
        <v>90</v>
      </c>
      <c r="C7" s="405" t="s">
        <v>91</v>
      </c>
      <c r="D7" s="405" t="s">
        <v>92</v>
      </c>
      <c r="E7" s="405" t="s">
        <v>93</v>
      </c>
      <c r="F7" s="405" t="s">
        <v>94</v>
      </c>
      <c r="G7" s="405" t="s">
        <v>95</v>
      </c>
      <c r="H7" s="405" t="s">
        <v>96</v>
      </c>
      <c r="I7" s="405" t="s">
        <v>96</v>
      </c>
    </row>
    <row r="8" spans="1:11">
      <c r="A8" s="112"/>
      <c r="B8" s="113" t="s">
        <v>97</v>
      </c>
      <c r="C8" s="406" t="s">
        <v>98</v>
      </c>
      <c r="D8" s="406" t="s">
        <v>99</v>
      </c>
      <c r="E8" s="406" t="s">
        <v>100</v>
      </c>
      <c r="F8" s="406" t="s">
        <v>101</v>
      </c>
      <c r="G8" s="406" t="s">
        <v>55</v>
      </c>
      <c r="H8" s="406" t="s">
        <v>102</v>
      </c>
      <c r="I8" s="406" t="s">
        <v>103</v>
      </c>
    </row>
    <row r="9" spans="1:11" ht="16.5" thickBot="1">
      <c r="A9" s="112" t="s">
        <v>104</v>
      </c>
      <c r="B9" s="115" t="s">
        <v>105</v>
      </c>
      <c r="C9" s="116" t="s">
        <v>106</v>
      </c>
      <c r="D9" s="116" t="s">
        <v>107</v>
      </c>
      <c r="E9" s="116" t="s">
        <v>107</v>
      </c>
      <c r="F9" s="116" t="s">
        <v>108</v>
      </c>
      <c r="G9" s="116" t="s">
        <v>109</v>
      </c>
      <c r="H9" s="116" t="s">
        <v>110</v>
      </c>
      <c r="I9" s="116" t="s">
        <v>111</v>
      </c>
    </row>
    <row r="10" spans="1:11" ht="13.5" thickTop="1">
      <c r="A10" s="112"/>
      <c r="B10" s="117"/>
      <c r="C10" s="118"/>
      <c r="D10" s="118"/>
      <c r="E10" s="118"/>
      <c r="F10" s="118"/>
      <c r="G10" s="118"/>
      <c r="H10" s="118"/>
      <c r="I10" s="118"/>
    </row>
    <row r="11" spans="1:11">
      <c r="A11" s="119" t="s">
        <v>261</v>
      </c>
      <c r="B11" s="120">
        <f>SUM(C11:I11)</f>
        <v>46159155</v>
      </c>
      <c r="C11" s="121">
        <v>13614397</v>
      </c>
      <c r="D11" s="121">
        <v>16332208</v>
      </c>
      <c r="E11" s="121">
        <v>8212721</v>
      </c>
      <c r="F11" s="121">
        <v>810716</v>
      </c>
      <c r="G11" s="121">
        <v>6366202</v>
      </c>
      <c r="H11" s="121">
        <v>634874</v>
      </c>
      <c r="I11" s="121">
        <v>188037</v>
      </c>
    </row>
    <row r="12" spans="1:11">
      <c r="A12" s="119"/>
      <c r="B12" s="120"/>
      <c r="C12" s="121"/>
      <c r="D12" s="121"/>
      <c r="E12" s="121"/>
      <c r="F12" s="121"/>
      <c r="G12" s="121"/>
      <c r="H12" s="121"/>
      <c r="I12" s="121"/>
    </row>
    <row r="13" spans="1:11">
      <c r="A13" s="119"/>
      <c r="B13" s="120"/>
      <c r="C13" s="121"/>
      <c r="D13" s="121"/>
      <c r="E13" s="121"/>
      <c r="F13" s="121"/>
      <c r="G13" s="121"/>
      <c r="H13" s="121"/>
      <c r="I13" s="121"/>
      <c r="J13" s="118"/>
      <c r="K13" s="118"/>
    </row>
    <row r="14" spans="1:11">
      <c r="A14" s="119"/>
      <c r="B14" s="122"/>
      <c r="C14" s="123"/>
      <c r="D14" s="123"/>
      <c r="E14" s="123"/>
      <c r="F14" s="123"/>
      <c r="G14" s="123"/>
      <c r="H14" s="123"/>
      <c r="I14" s="123"/>
    </row>
    <row r="15" spans="1:11" ht="13.5" thickBot="1">
      <c r="A15" s="119"/>
      <c r="B15" s="122"/>
      <c r="C15" s="123"/>
      <c r="D15" s="123"/>
      <c r="E15" s="123"/>
      <c r="F15" s="123"/>
      <c r="G15" s="123"/>
      <c r="H15" s="123"/>
      <c r="I15" s="123"/>
    </row>
    <row r="16" spans="1:11" ht="13.5" thickBot="1">
      <c r="A16" s="119" t="s">
        <v>278</v>
      </c>
      <c r="B16" s="124">
        <f>SUM(C11:G11)*0.05</f>
        <v>2266812.2000000002</v>
      </c>
      <c r="C16" s="413">
        <v>5572</v>
      </c>
      <c r="D16" s="413">
        <v>641093</v>
      </c>
      <c r="E16" s="413">
        <v>411389</v>
      </c>
      <c r="F16" s="413">
        <v>15935</v>
      </c>
      <c r="G16" s="413">
        <v>1192823</v>
      </c>
      <c r="H16" s="414"/>
      <c r="I16" s="125">
        <v>0</v>
      </c>
    </row>
    <row r="17" spans="1:13">
      <c r="A17" s="112"/>
      <c r="B17" s="215"/>
      <c r="C17" s="212"/>
      <c r="D17" s="121"/>
      <c r="E17" s="121"/>
      <c r="F17" s="121"/>
      <c r="G17" s="121"/>
      <c r="H17" s="121"/>
      <c r="I17" s="121"/>
    </row>
    <row r="18" spans="1:13" s="214" customFormat="1">
      <c r="A18" s="119"/>
      <c r="B18" s="122">
        <f>B16+B17</f>
        <v>2266812.2000000002</v>
      </c>
      <c r="C18" s="213">
        <f>C16+C17</f>
        <v>5572</v>
      </c>
      <c r="D18" s="213">
        <f t="shared" ref="D18:I18" si="0">D16+D17</f>
        <v>641093</v>
      </c>
      <c r="E18" s="213">
        <f t="shared" si="0"/>
        <v>411389</v>
      </c>
      <c r="F18" s="213">
        <f t="shared" si="0"/>
        <v>15935</v>
      </c>
      <c r="G18" s="213">
        <f t="shared" si="0"/>
        <v>1192823</v>
      </c>
      <c r="H18" s="213">
        <f t="shared" si="0"/>
        <v>0</v>
      </c>
      <c r="I18" s="213">
        <f t="shared" si="0"/>
        <v>0</v>
      </c>
    </row>
    <row r="19" spans="1:13">
      <c r="A19" s="112"/>
      <c r="B19" s="120"/>
      <c r="C19" s="121"/>
      <c r="D19" s="121"/>
      <c r="E19" s="121"/>
      <c r="F19" s="121"/>
      <c r="G19" s="121"/>
      <c r="H19" s="121"/>
      <c r="I19" s="121"/>
    </row>
    <row r="20" spans="1:13" ht="15.75">
      <c r="A20" s="112" t="s">
        <v>113</v>
      </c>
      <c r="B20" s="120">
        <f>SUM(C20:I20)</f>
        <v>1039534</v>
      </c>
      <c r="C20" s="121">
        <v>404660</v>
      </c>
      <c r="D20" s="126"/>
      <c r="E20" s="121"/>
      <c r="F20" s="121"/>
      <c r="G20" s="121"/>
      <c r="H20" s="121">
        <f>H11+H12</f>
        <v>634874</v>
      </c>
      <c r="I20" s="121"/>
      <c r="J20" s="118"/>
      <c r="K20" s="118"/>
    </row>
    <row r="21" spans="1:13">
      <c r="A21" s="112" t="s">
        <v>114</v>
      </c>
      <c r="B21" s="120">
        <f>SUM(C21:I21)</f>
        <v>188037</v>
      </c>
      <c r="C21" s="121"/>
      <c r="D21" s="121"/>
      <c r="E21" s="121"/>
      <c r="F21" s="121"/>
      <c r="G21" s="121"/>
      <c r="H21" s="121"/>
      <c r="I21" s="121">
        <f>I11+I12</f>
        <v>188037</v>
      </c>
    </row>
    <row r="22" spans="1:13" ht="15.75">
      <c r="A22" s="112"/>
      <c r="B22" s="120"/>
      <c r="C22" s="121" t="s">
        <v>1</v>
      </c>
      <c r="D22" s="121"/>
      <c r="E22" s="121"/>
      <c r="F22" s="121"/>
      <c r="G22" s="126"/>
      <c r="H22" s="121"/>
      <c r="I22" s="121"/>
    </row>
    <row r="23" spans="1:13">
      <c r="A23" s="112"/>
      <c r="B23" s="120"/>
      <c r="C23" s="121"/>
      <c r="D23" s="121"/>
      <c r="E23" s="121"/>
      <c r="F23" s="121"/>
      <c r="G23" s="121"/>
      <c r="H23" s="121"/>
      <c r="I23" s="121"/>
    </row>
    <row r="24" spans="1:13" ht="13.5" thickBot="1">
      <c r="A24" s="119" t="s">
        <v>115</v>
      </c>
      <c r="B24" s="127">
        <f>B11-B18-B20-B21+B12</f>
        <v>42664771.799999997</v>
      </c>
      <c r="C24" s="128">
        <f>SUM(C11-C18-C20+C12)</f>
        <v>13204165</v>
      </c>
      <c r="D24" s="128">
        <f>SUM(D11-D18-D20+D12)</f>
        <v>15691115</v>
      </c>
      <c r="E24" s="128">
        <f>SUM(E11-E18-E20+E12)</f>
        <v>7801332</v>
      </c>
      <c r="F24" s="128">
        <f>SUM(F11-F18-F20+F12)</f>
        <v>794781</v>
      </c>
      <c r="G24" s="128">
        <f>SUM(G11-G16+G12)</f>
        <v>5173379</v>
      </c>
      <c r="H24" s="128">
        <v>0</v>
      </c>
      <c r="I24" s="128">
        <v>0</v>
      </c>
    </row>
    <row r="25" spans="1:13" ht="13.5" thickBot="1">
      <c r="A25" s="112" t="s">
        <v>116</v>
      </c>
      <c r="B25" s="129">
        <f>SUM(C25:I25)</f>
        <v>4266477</v>
      </c>
      <c r="C25" s="130">
        <v>1176528</v>
      </c>
      <c r="D25" s="130">
        <v>1631973</v>
      </c>
      <c r="E25" s="130">
        <v>772262</v>
      </c>
      <c r="F25" s="130"/>
      <c r="G25" s="130">
        <v>685714</v>
      </c>
      <c r="H25" s="130"/>
      <c r="I25" s="130"/>
    </row>
    <row r="26" spans="1:13" ht="13.5" thickBot="1">
      <c r="A26" s="131" t="s">
        <v>262</v>
      </c>
      <c r="B26" s="132">
        <f t="shared" ref="B26:G26" si="1">B24-B25</f>
        <v>38398294.799999997</v>
      </c>
      <c r="C26" s="133">
        <f t="shared" si="1"/>
        <v>12027637</v>
      </c>
      <c r="D26" s="133">
        <f t="shared" si="1"/>
        <v>14059142</v>
      </c>
      <c r="E26" s="133">
        <f t="shared" si="1"/>
        <v>7029070</v>
      </c>
      <c r="F26" s="133">
        <f t="shared" si="1"/>
        <v>794781</v>
      </c>
      <c r="G26" s="133">
        <f t="shared" si="1"/>
        <v>4487665</v>
      </c>
      <c r="H26" s="133">
        <f t="shared" ref="H26:I26" si="2">H24-H25</f>
        <v>0</v>
      </c>
      <c r="I26" s="133">
        <f t="shared" si="2"/>
        <v>0</v>
      </c>
    </row>
    <row r="27" spans="1:13" ht="13.5" thickBot="1">
      <c r="B27" s="134"/>
      <c r="C27" s="134"/>
      <c r="D27" s="134"/>
      <c r="E27" s="134"/>
      <c r="F27" s="134"/>
      <c r="G27" s="134"/>
      <c r="H27" s="134"/>
      <c r="I27" s="134"/>
    </row>
    <row r="28" spans="1:13" s="136" customFormat="1" ht="13.5" thickBot="1">
      <c r="A28" s="416" t="s">
        <v>217</v>
      </c>
      <c r="B28" s="135">
        <f>SUM(C28:G28)</f>
        <v>75218083</v>
      </c>
      <c r="C28" s="417">
        <v>23857516</v>
      </c>
      <c r="D28" s="417">
        <v>27367433</v>
      </c>
      <c r="E28" s="417">
        <v>13716318</v>
      </c>
      <c r="F28" s="417">
        <v>1526500</v>
      </c>
      <c r="G28" s="417">
        <v>8750316</v>
      </c>
      <c r="H28" s="417">
        <v>0</v>
      </c>
      <c r="I28" s="417">
        <v>0</v>
      </c>
    </row>
    <row r="29" spans="1:13" ht="13.5" thickBot="1">
      <c r="A29" s="137" t="s">
        <v>112</v>
      </c>
      <c r="B29" s="138"/>
      <c r="C29" s="139">
        <f>C26-C28</f>
        <v>-11829879</v>
      </c>
      <c r="D29" s="139">
        <f>D26-D28</f>
        <v>-13308291</v>
      </c>
      <c r="E29" s="139">
        <f>E26-E28</f>
        <v>-6687248</v>
      </c>
      <c r="F29" s="139">
        <f>F26-F28</f>
        <v>-731719</v>
      </c>
      <c r="G29" s="139">
        <f>G26-G28</f>
        <v>-4262651</v>
      </c>
      <c r="H29" s="140"/>
      <c r="I29" s="105"/>
      <c r="J29" s="141"/>
      <c r="K29" s="121"/>
      <c r="L29" s="121"/>
      <c r="M29" s="118"/>
    </row>
    <row r="30" spans="1:13" ht="15.75">
      <c r="A30" s="118"/>
      <c r="B30" s="118"/>
      <c r="C30" s="118"/>
      <c r="D30" s="118"/>
      <c r="E30" s="118"/>
      <c r="G30" s="142" t="s">
        <v>117</v>
      </c>
      <c r="H30" s="141"/>
      <c r="I30" s="143"/>
      <c r="J30" s="144"/>
      <c r="K30" s="145"/>
      <c r="L30" s="145"/>
      <c r="M30" s="406"/>
    </row>
    <row r="31" spans="1:13" ht="13.5" thickBot="1">
      <c r="A31" s="118"/>
      <c r="B31" s="121"/>
      <c r="C31" s="121"/>
      <c r="D31" s="121"/>
      <c r="E31" s="121"/>
      <c r="G31" s="221" t="s">
        <v>245</v>
      </c>
      <c r="H31" s="146"/>
      <c r="I31" s="219" t="s">
        <v>246</v>
      </c>
      <c r="J31" s="145"/>
      <c r="K31" s="145"/>
      <c r="L31" s="145"/>
      <c r="M31" s="406"/>
    </row>
    <row r="32" spans="1:13">
      <c r="A32" s="118"/>
      <c r="B32" s="121"/>
      <c r="C32" s="121"/>
      <c r="D32" s="121"/>
      <c r="E32" s="121"/>
      <c r="G32" s="147" t="s">
        <v>64</v>
      </c>
      <c r="H32" s="148" t="s">
        <v>118</v>
      </c>
      <c r="I32" s="149" t="s">
        <v>119</v>
      </c>
      <c r="J32" s="145"/>
      <c r="K32" s="121"/>
      <c r="L32" s="121"/>
      <c r="M32" s="150"/>
    </row>
    <row r="33" spans="1:13">
      <c r="A33" s="118"/>
      <c r="B33" s="121"/>
      <c r="C33" s="121"/>
      <c r="D33" s="121"/>
      <c r="E33" s="121"/>
      <c r="G33" s="147">
        <v>1</v>
      </c>
      <c r="H33" s="148" t="s">
        <v>247</v>
      </c>
      <c r="I33" s="143">
        <v>22000</v>
      </c>
      <c r="J33" s="145"/>
      <c r="K33" s="121"/>
      <c r="L33" s="121"/>
      <c r="M33" s="150"/>
    </row>
    <row r="34" spans="1:13">
      <c r="G34" s="147">
        <v>2</v>
      </c>
      <c r="H34" s="148" t="s">
        <v>248</v>
      </c>
      <c r="I34" s="143">
        <v>22000</v>
      </c>
      <c r="J34" s="145"/>
      <c r="K34" s="121"/>
      <c r="L34" s="121"/>
      <c r="M34" s="150"/>
    </row>
    <row r="35" spans="1:13">
      <c r="A35" s="151" t="s">
        <v>120</v>
      </c>
      <c r="G35" s="147">
        <v>3</v>
      </c>
      <c r="H35" s="152" t="s">
        <v>249</v>
      </c>
      <c r="I35" s="143">
        <v>22000</v>
      </c>
      <c r="J35" s="145"/>
      <c r="K35" s="121"/>
      <c r="L35" s="121"/>
      <c r="M35" s="150"/>
    </row>
    <row r="36" spans="1:13">
      <c r="A36" s="101" t="s">
        <v>121</v>
      </c>
      <c r="G36" s="147">
        <v>4</v>
      </c>
      <c r="H36" s="152" t="s">
        <v>250</v>
      </c>
      <c r="I36" s="143">
        <v>22000</v>
      </c>
      <c r="J36" s="145"/>
      <c r="K36" s="121"/>
      <c r="L36" s="121"/>
      <c r="M36" s="150"/>
    </row>
    <row r="37" spans="1:13">
      <c r="A37" s="262" t="s">
        <v>258</v>
      </c>
      <c r="G37" s="147">
        <v>5</v>
      </c>
      <c r="H37" s="152" t="s">
        <v>251</v>
      </c>
      <c r="I37" s="143">
        <v>22000</v>
      </c>
      <c r="J37" s="145"/>
      <c r="K37" s="121"/>
      <c r="L37" s="121"/>
      <c r="M37" s="150"/>
    </row>
    <row r="38" spans="1:13">
      <c r="A38" s="101" t="s">
        <v>122</v>
      </c>
      <c r="G38" s="147">
        <v>6</v>
      </c>
      <c r="H38" s="152" t="s">
        <v>252</v>
      </c>
      <c r="I38" s="143">
        <v>22000</v>
      </c>
      <c r="J38" s="145"/>
      <c r="K38" s="121"/>
      <c r="L38" s="121"/>
      <c r="M38" s="150"/>
    </row>
    <row r="39" spans="1:13">
      <c r="A39" s="261" t="s">
        <v>222</v>
      </c>
      <c r="G39" s="147">
        <v>7</v>
      </c>
      <c r="H39" s="152" t="s">
        <v>253</v>
      </c>
      <c r="I39" s="143">
        <v>22000</v>
      </c>
      <c r="J39" s="145"/>
      <c r="K39" s="121"/>
      <c r="L39" s="121"/>
      <c r="M39" s="150"/>
    </row>
    <row r="40" spans="1:13">
      <c r="A40" s="262" t="s">
        <v>244</v>
      </c>
      <c r="G40" s="147">
        <v>8</v>
      </c>
      <c r="H40" s="152" t="s">
        <v>254</v>
      </c>
      <c r="I40" s="143">
        <v>22000</v>
      </c>
      <c r="J40" s="145"/>
      <c r="K40" s="121"/>
      <c r="L40" s="121"/>
      <c r="M40" s="150"/>
    </row>
    <row r="41" spans="1:13">
      <c r="G41" s="147">
        <v>9</v>
      </c>
      <c r="H41" s="152" t="s">
        <v>255</v>
      </c>
      <c r="I41" s="143">
        <v>22000</v>
      </c>
      <c r="J41" s="145"/>
      <c r="K41" s="121"/>
      <c r="L41" s="121"/>
      <c r="M41" s="150"/>
    </row>
    <row r="42" spans="1:13">
      <c r="G42" s="147">
        <v>10</v>
      </c>
      <c r="H42" s="152" t="s">
        <v>256</v>
      </c>
      <c r="I42" s="143">
        <v>22000</v>
      </c>
      <c r="J42" s="145"/>
      <c r="K42" s="121"/>
      <c r="L42" s="121"/>
      <c r="M42" s="150"/>
    </row>
    <row r="43" spans="1:13" ht="13.5" thickBot="1">
      <c r="A43" s="101" t="s">
        <v>25</v>
      </c>
      <c r="G43" s="153">
        <v>11</v>
      </c>
      <c r="H43" s="154" t="s">
        <v>257</v>
      </c>
      <c r="I43" s="143">
        <v>22000</v>
      </c>
      <c r="J43" s="155"/>
      <c r="K43" s="121"/>
      <c r="L43" s="156"/>
      <c r="M43" s="150"/>
    </row>
    <row r="44" spans="1:13">
      <c r="A44" s="220"/>
      <c r="G44" s="157"/>
      <c r="H44" s="158"/>
      <c r="I44" s="159"/>
      <c r="J44" s="121"/>
      <c r="K44" s="121"/>
      <c r="L44" s="121"/>
      <c r="M44" s="150"/>
    </row>
    <row r="45" spans="1:13" ht="15.75">
      <c r="A45" s="107"/>
      <c r="G45" s="160" t="s">
        <v>123</v>
      </c>
      <c r="H45" s="141"/>
      <c r="I45" s="161">
        <f>SUM(I33:I43)</f>
        <v>242000</v>
      </c>
      <c r="J45" s="162"/>
      <c r="K45" s="118"/>
      <c r="L45" s="118"/>
      <c r="M45" s="118"/>
    </row>
    <row r="46" spans="1:13">
      <c r="B46" s="101" t="s">
        <v>1</v>
      </c>
      <c r="G46" s="112" t="s">
        <v>124</v>
      </c>
      <c r="H46" s="118"/>
      <c r="I46" s="163">
        <f>I21-I45</f>
        <v>-53963</v>
      </c>
      <c r="J46" s="118"/>
      <c r="K46" s="118"/>
      <c r="L46" s="118"/>
      <c r="M46" s="118"/>
    </row>
    <row r="47" spans="1:13" ht="13.5" thickBot="1">
      <c r="A47" s="164"/>
      <c r="B47" s="101" t="s">
        <v>1</v>
      </c>
      <c r="G47" s="137" t="s">
        <v>125</v>
      </c>
      <c r="H47" s="140"/>
      <c r="I47" s="165">
        <f>SUM(I45:I46)</f>
        <v>188037</v>
      </c>
      <c r="J47" s="118"/>
      <c r="K47" s="118"/>
      <c r="L47" s="118"/>
      <c r="M47" s="118"/>
    </row>
  </sheetData>
  <pageMargins left="0.75" right="0.75" top="1" bottom="1" header="0.5" footer="0.5"/>
  <pageSetup paperSize="5" scale="74" orientation="landscape" r:id="rId1"/>
  <headerFooter alignWithMargins="0">
    <oddFooter>&amp;L&amp;D &amp;T &amp;F 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M47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23" sqref="A23"/>
    </sheetView>
  </sheetViews>
  <sheetFormatPr defaultColWidth="11.5546875" defaultRowHeight="12.75"/>
  <cols>
    <col min="1" max="1" width="40.6640625" style="101" customWidth="1"/>
    <col min="2" max="2" width="15" style="101" customWidth="1"/>
    <col min="3" max="4" width="14.109375" style="101" customWidth="1"/>
    <col min="5" max="5" width="14.6640625" style="101" customWidth="1"/>
    <col min="6" max="6" width="14" style="101" customWidth="1"/>
    <col min="7" max="7" width="16.21875" style="101" customWidth="1"/>
    <col min="8" max="8" width="15.77734375" style="101" customWidth="1"/>
    <col min="9" max="9" width="15" style="101" customWidth="1"/>
    <col min="10" max="10" width="12.109375" style="101" customWidth="1"/>
    <col min="11" max="11" width="15.88671875" style="101" customWidth="1"/>
    <col min="12" max="12" width="12.33203125" style="101" customWidth="1"/>
    <col min="13" max="16384" width="11.5546875" style="101"/>
  </cols>
  <sheetData>
    <row r="1" spans="1:11" ht="18">
      <c r="I1" s="102"/>
    </row>
    <row r="2" spans="1:11" ht="13.5" thickBot="1"/>
    <row r="3" spans="1:11" ht="16.5" thickBot="1">
      <c r="A3" s="410" t="s">
        <v>259</v>
      </c>
      <c r="B3" s="104"/>
      <c r="D3" s="101" t="s">
        <v>89</v>
      </c>
    </row>
    <row r="4" spans="1:11" ht="16.5" thickBot="1">
      <c r="A4" s="411" t="s">
        <v>260</v>
      </c>
      <c r="B4" s="105"/>
    </row>
    <row r="5" spans="1:11" ht="18">
      <c r="D5" s="106"/>
      <c r="E5" s="107"/>
      <c r="I5" s="108"/>
    </row>
    <row r="6" spans="1:11" ht="13.5" thickBot="1"/>
    <row r="7" spans="1:11">
      <c r="A7" s="109"/>
      <c r="B7" s="110" t="s">
        <v>90</v>
      </c>
      <c r="C7" s="111" t="s">
        <v>91</v>
      </c>
      <c r="D7" s="111" t="s">
        <v>92</v>
      </c>
      <c r="E7" s="111" t="s">
        <v>93</v>
      </c>
      <c r="F7" s="111" t="s">
        <v>94</v>
      </c>
      <c r="G7" s="111" t="s">
        <v>95</v>
      </c>
      <c r="H7" s="111" t="s">
        <v>96</v>
      </c>
      <c r="I7" s="111" t="s">
        <v>96</v>
      </c>
    </row>
    <row r="8" spans="1:11">
      <c r="A8" s="112"/>
      <c r="B8" s="113" t="s">
        <v>97</v>
      </c>
      <c r="C8" s="114" t="s">
        <v>98</v>
      </c>
      <c r="D8" s="114" t="s">
        <v>99</v>
      </c>
      <c r="E8" s="114" t="s">
        <v>100</v>
      </c>
      <c r="F8" s="114" t="s">
        <v>101</v>
      </c>
      <c r="G8" s="114" t="s">
        <v>55</v>
      </c>
      <c r="H8" s="114" t="s">
        <v>102</v>
      </c>
      <c r="I8" s="114" t="s">
        <v>103</v>
      </c>
    </row>
    <row r="9" spans="1:11" ht="16.5" thickBot="1">
      <c r="A9" s="112" t="s">
        <v>104</v>
      </c>
      <c r="B9" s="115" t="s">
        <v>105</v>
      </c>
      <c r="C9" s="116" t="s">
        <v>106</v>
      </c>
      <c r="D9" s="116" t="s">
        <v>107</v>
      </c>
      <c r="E9" s="116" t="s">
        <v>107</v>
      </c>
      <c r="F9" s="116" t="s">
        <v>108</v>
      </c>
      <c r="G9" s="116" t="s">
        <v>109</v>
      </c>
      <c r="H9" s="116" t="s">
        <v>110</v>
      </c>
      <c r="I9" s="116" t="s">
        <v>111</v>
      </c>
    </row>
    <row r="10" spans="1:11" ht="13.5" thickTop="1">
      <c r="A10" s="112"/>
      <c r="B10" s="117"/>
      <c r="C10" s="118"/>
      <c r="D10" s="118"/>
      <c r="E10" s="118"/>
      <c r="F10" s="118"/>
      <c r="G10" s="118"/>
      <c r="H10" s="118"/>
      <c r="I10" s="118"/>
    </row>
    <row r="11" spans="1:11">
      <c r="A11" s="119" t="s">
        <v>261</v>
      </c>
      <c r="B11" s="120">
        <f>SUM(C11:I11)</f>
        <v>46159155</v>
      </c>
      <c r="C11" s="121">
        <v>13614397</v>
      </c>
      <c r="D11" s="121">
        <v>16332208</v>
      </c>
      <c r="E11" s="121">
        <v>8212721</v>
      </c>
      <c r="F11" s="121">
        <v>810716</v>
      </c>
      <c r="G11" s="121">
        <v>6366202</v>
      </c>
      <c r="H11" s="121">
        <v>634874</v>
      </c>
      <c r="I11" s="121">
        <v>188037</v>
      </c>
    </row>
    <row r="12" spans="1:11">
      <c r="A12" s="119" t="s">
        <v>133</v>
      </c>
      <c r="B12" s="120">
        <f>SUM(C12:I12)</f>
        <v>90007025</v>
      </c>
      <c r="C12" s="121">
        <v>26577730</v>
      </c>
      <c r="D12" s="121">
        <v>31814346</v>
      </c>
      <c r="E12" s="121">
        <v>16031256</v>
      </c>
      <c r="F12" s="121">
        <v>1557571</v>
      </c>
      <c r="G12" s="121">
        <v>12419421</v>
      </c>
      <c r="H12" s="121">
        <v>1239282</v>
      </c>
      <c r="I12" s="121">
        <v>367419</v>
      </c>
    </row>
    <row r="13" spans="1:11">
      <c r="A13" s="119" t="s">
        <v>112</v>
      </c>
      <c r="B13" s="120">
        <f t="shared" ref="B13:I13" si="0">B11-B12</f>
        <v>-43847870</v>
      </c>
      <c r="C13" s="121">
        <f t="shared" si="0"/>
        <v>-12963333</v>
      </c>
      <c r="D13" s="121">
        <f t="shared" si="0"/>
        <v>-15482138</v>
      </c>
      <c r="E13" s="121">
        <f t="shared" si="0"/>
        <v>-7818535</v>
      </c>
      <c r="F13" s="121">
        <f t="shared" si="0"/>
        <v>-746855</v>
      </c>
      <c r="G13" s="121">
        <f t="shared" si="0"/>
        <v>-6053219</v>
      </c>
      <c r="H13" s="121">
        <f t="shared" si="0"/>
        <v>-604408</v>
      </c>
      <c r="I13" s="121">
        <f t="shared" si="0"/>
        <v>-179382</v>
      </c>
      <c r="J13" s="118"/>
      <c r="K13" s="118"/>
    </row>
    <row r="14" spans="1:11">
      <c r="A14" s="119"/>
      <c r="B14" s="122"/>
      <c r="C14" s="123"/>
      <c r="D14" s="123"/>
      <c r="E14" s="123"/>
      <c r="F14" s="123"/>
      <c r="G14" s="123"/>
      <c r="H14" s="123"/>
      <c r="I14" s="123"/>
    </row>
    <row r="15" spans="1:11">
      <c r="A15" s="119"/>
      <c r="B15" s="122"/>
      <c r="C15" s="123"/>
      <c r="D15" s="123"/>
      <c r="E15" s="123"/>
      <c r="F15" s="123"/>
      <c r="G15" s="123"/>
      <c r="H15" s="123"/>
      <c r="I15" s="123"/>
    </row>
    <row r="16" spans="1:11">
      <c r="A16" s="119" t="s">
        <v>278</v>
      </c>
      <c r="B16" s="412">
        <f>SUM(C11:G11)*0.05</f>
        <v>2266812.2000000002</v>
      </c>
      <c r="C16" s="413">
        <v>5572</v>
      </c>
      <c r="D16" s="413">
        <v>641093</v>
      </c>
      <c r="E16" s="413">
        <v>411389</v>
      </c>
      <c r="F16" s="413">
        <v>15935</v>
      </c>
      <c r="G16" s="413">
        <v>1192823</v>
      </c>
      <c r="H16" s="414"/>
      <c r="I16" s="415">
        <v>0</v>
      </c>
    </row>
    <row r="17" spans="1:13">
      <c r="A17" s="112"/>
      <c r="B17" s="215"/>
      <c r="C17" s="212"/>
      <c r="D17" s="121"/>
      <c r="E17" s="121"/>
      <c r="F17" s="121"/>
      <c r="G17" s="121"/>
      <c r="H17" s="121"/>
      <c r="I17" s="121"/>
    </row>
    <row r="18" spans="1:13" s="214" customFormat="1">
      <c r="A18" s="119"/>
      <c r="B18" s="122">
        <f>SUM(C18:G18)</f>
        <v>2266812</v>
      </c>
      <c r="C18" s="213">
        <f>C16+C17</f>
        <v>5572</v>
      </c>
      <c r="D18" s="213">
        <f t="shared" ref="D18:I18" si="1">D16+D17</f>
        <v>641093</v>
      </c>
      <c r="E18" s="213">
        <f t="shared" si="1"/>
        <v>411389</v>
      </c>
      <c r="F18" s="213">
        <f t="shared" si="1"/>
        <v>15935</v>
      </c>
      <c r="G18" s="213">
        <f t="shared" si="1"/>
        <v>1192823</v>
      </c>
      <c r="H18" s="213">
        <f t="shared" si="1"/>
        <v>0</v>
      </c>
      <c r="I18" s="213">
        <f t="shared" si="1"/>
        <v>0</v>
      </c>
    </row>
    <row r="19" spans="1:13">
      <c r="A19" s="112"/>
      <c r="B19" s="120"/>
      <c r="C19" s="121"/>
      <c r="D19" s="121"/>
      <c r="E19" s="121"/>
      <c r="F19" s="121"/>
      <c r="G19" s="121"/>
      <c r="H19" s="121"/>
      <c r="I19" s="121"/>
    </row>
    <row r="20" spans="1:13" ht="15.75">
      <c r="A20" s="112" t="s">
        <v>113</v>
      </c>
      <c r="B20" s="120">
        <f>SUM(C20:I20)</f>
        <v>1039534</v>
      </c>
      <c r="C20" s="121">
        <v>404660</v>
      </c>
      <c r="D20" s="126"/>
      <c r="E20" s="121"/>
      <c r="F20" s="121"/>
      <c r="G20" s="121"/>
      <c r="H20" s="121">
        <f>H11</f>
        <v>634874</v>
      </c>
      <c r="I20" s="121"/>
      <c r="J20" s="118"/>
      <c r="K20" s="118"/>
    </row>
    <row r="21" spans="1:13">
      <c r="A21" s="112" t="s">
        <v>114</v>
      </c>
      <c r="B21" s="120">
        <f>SUM(C21:I21)</f>
        <v>188037</v>
      </c>
      <c r="C21" s="121"/>
      <c r="D21" s="121"/>
      <c r="E21" s="121"/>
      <c r="F21" s="121"/>
      <c r="G21" s="121"/>
      <c r="H21" s="121"/>
      <c r="I21" s="121">
        <f>I11</f>
        <v>188037</v>
      </c>
    </row>
    <row r="22" spans="1:13" ht="15.75">
      <c r="A22" s="112"/>
      <c r="B22" s="120"/>
      <c r="C22" s="121" t="s">
        <v>1</v>
      </c>
      <c r="D22" s="121"/>
      <c r="E22" s="121"/>
      <c r="F22" s="121"/>
      <c r="G22" s="126"/>
      <c r="H22" s="121"/>
      <c r="I22" s="121"/>
    </row>
    <row r="23" spans="1:13">
      <c r="A23" s="112"/>
      <c r="B23" s="120"/>
      <c r="C23" s="121"/>
      <c r="D23" s="121"/>
      <c r="E23" s="121"/>
      <c r="F23" s="121"/>
      <c r="G23" s="121"/>
      <c r="H23" s="121"/>
      <c r="I23" s="121"/>
    </row>
    <row r="24" spans="1:13">
      <c r="A24" s="119" t="s">
        <v>115</v>
      </c>
      <c r="B24" s="127">
        <f>B11-B18-B20-B21</f>
        <v>42664772</v>
      </c>
      <c r="C24" s="128">
        <f>SUM(C11-C18-C20)</f>
        <v>13204165</v>
      </c>
      <c r="D24" s="128">
        <f>SUM(D11-D16)</f>
        <v>15691115</v>
      </c>
      <c r="E24" s="128">
        <f>SUM(E11-E16)</f>
        <v>7801332</v>
      </c>
      <c r="F24" s="128">
        <f>SUM(F11-F16)</f>
        <v>794781</v>
      </c>
      <c r="G24" s="128">
        <f>SUM(G11-G16)</f>
        <v>5173379</v>
      </c>
      <c r="H24" s="128">
        <v>0</v>
      </c>
      <c r="I24" s="128">
        <v>0</v>
      </c>
    </row>
    <row r="25" spans="1:13">
      <c r="A25" s="112" t="s">
        <v>116</v>
      </c>
      <c r="B25" s="422">
        <f>B24*0.1</f>
        <v>4266477.2</v>
      </c>
      <c r="C25" s="130">
        <v>1176528</v>
      </c>
      <c r="D25" s="130">
        <v>1631973</v>
      </c>
      <c r="E25" s="130">
        <v>772262</v>
      </c>
      <c r="F25" s="130"/>
      <c r="G25" s="130">
        <v>685714</v>
      </c>
      <c r="H25" s="130"/>
      <c r="I25" s="130"/>
    </row>
    <row r="26" spans="1:13" ht="13.5" thickBot="1">
      <c r="A26" s="131" t="s">
        <v>262</v>
      </c>
      <c r="B26" s="132">
        <f t="shared" ref="B26:I26" si="2">B24-B25</f>
        <v>38398294.799999997</v>
      </c>
      <c r="C26" s="133">
        <f>C24-C25</f>
        <v>12027637</v>
      </c>
      <c r="D26" s="133">
        <f t="shared" si="2"/>
        <v>14059142</v>
      </c>
      <c r="E26" s="133">
        <f t="shared" si="2"/>
        <v>7029070</v>
      </c>
      <c r="F26" s="133">
        <f t="shared" si="2"/>
        <v>794781</v>
      </c>
      <c r="G26" s="133">
        <f t="shared" si="2"/>
        <v>4487665</v>
      </c>
      <c r="H26" s="133">
        <f t="shared" si="2"/>
        <v>0</v>
      </c>
      <c r="I26" s="133">
        <f t="shared" si="2"/>
        <v>0</v>
      </c>
    </row>
    <row r="27" spans="1:13" ht="13.5" thickBot="1">
      <c r="B27" s="134"/>
      <c r="C27" s="134"/>
      <c r="D27" s="134"/>
      <c r="E27" s="134"/>
      <c r="F27" s="134"/>
      <c r="G27" s="134"/>
      <c r="H27" s="134"/>
      <c r="I27" s="134"/>
    </row>
    <row r="28" spans="1:13" s="136" customFormat="1" ht="13.5" thickBot="1">
      <c r="A28" s="418" t="s">
        <v>217</v>
      </c>
      <c r="B28" s="419">
        <f>SUM(C28:G28)</f>
        <v>75218083</v>
      </c>
      <c r="C28" s="420">
        <v>23857516</v>
      </c>
      <c r="D28" s="420">
        <v>27367433</v>
      </c>
      <c r="E28" s="420">
        <v>13716318</v>
      </c>
      <c r="F28" s="420">
        <v>1526500</v>
      </c>
      <c r="G28" s="420">
        <v>8750316</v>
      </c>
      <c r="H28" s="420">
        <v>0</v>
      </c>
      <c r="I28" s="421">
        <v>0</v>
      </c>
    </row>
    <row r="29" spans="1:13" ht="13.5" thickBot="1">
      <c r="A29" s="137" t="s">
        <v>112</v>
      </c>
      <c r="B29" s="138"/>
      <c r="C29" s="139">
        <f>C26-C28</f>
        <v>-11829879</v>
      </c>
      <c r="D29" s="139">
        <f>D26-D28</f>
        <v>-13308291</v>
      </c>
      <c r="E29" s="139">
        <f>E26-E28</f>
        <v>-6687248</v>
      </c>
      <c r="F29" s="139">
        <f>F26-F28</f>
        <v>-731719</v>
      </c>
      <c r="G29" s="139">
        <f>G26-G28</f>
        <v>-4262651</v>
      </c>
      <c r="H29" s="140"/>
      <c r="I29" s="105"/>
      <c r="J29" s="141"/>
      <c r="K29" s="121"/>
      <c r="L29" s="121"/>
      <c r="M29" s="118"/>
    </row>
    <row r="30" spans="1:13" ht="15.75">
      <c r="A30" s="118"/>
      <c r="B30" s="118"/>
      <c r="C30" s="118"/>
      <c r="D30" s="118"/>
      <c r="E30" s="118"/>
      <c r="G30" s="142" t="s">
        <v>117</v>
      </c>
      <c r="H30" s="141"/>
      <c r="I30" s="143"/>
      <c r="J30" s="144"/>
      <c r="K30" s="145"/>
      <c r="L30" s="145"/>
      <c r="M30" s="114"/>
    </row>
    <row r="31" spans="1:13" ht="13.5" thickBot="1">
      <c r="A31" s="118"/>
      <c r="B31" s="121"/>
      <c r="C31" s="121"/>
      <c r="D31" s="121"/>
      <c r="E31" s="121"/>
      <c r="G31" s="221" t="s">
        <v>265</v>
      </c>
      <c r="H31" s="146"/>
      <c r="I31" s="219" t="s">
        <v>266</v>
      </c>
      <c r="J31" s="145"/>
      <c r="K31" s="145"/>
      <c r="L31" s="145"/>
      <c r="M31" s="114"/>
    </row>
    <row r="32" spans="1:13">
      <c r="A32" s="118"/>
      <c r="B32" s="121"/>
      <c r="C32" s="121"/>
      <c r="D32" s="121"/>
      <c r="E32" s="121"/>
      <c r="G32" s="147" t="s">
        <v>64</v>
      </c>
      <c r="H32" s="148" t="s">
        <v>118</v>
      </c>
      <c r="I32" s="149" t="s">
        <v>119</v>
      </c>
      <c r="J32" s="145"/>
      <c r="K32" s="121"/>
      <c r="L32" s="121"/>
      <c r="M32" s="150"/>
    </row>
    <row r="33" spans="1:13">
      <c r="A33" s="118"/>
      <c r="B33" s="121"/>
      <c r="C33" s="121"/>
      <c r="D33" s="121"/>
      <c r="E33" s="121"/>
      <c r="G33" s="147">
        <v>1</v>
      </c>
      <c r="H33" s="148" t="s">
        <v>267</v>
      </c>
      <c r="I33" s="143">
        <v>22000</v>
      </c>
      <c r="J33" s="145"/>
      <c r="K33" s="121"/>
      <c r="L33" s="121"/>
      <c r="M33" s="150"/>
    </row>
    <row r="34" spans="1:13">
      <c r="G34" s="147">
        <v>2</v>
      </c>
      <c r="H34" s="148" t="s">
        <v>268</v>
      </c>
      <c r="I34" s="143">
        <v>22000</v>
      </c>
      <c r="J34" s="145"/>
      <c r="K34" s="121"/>
      <c r="L34" s="121"/>
      <c r="M34" s="150"/>
    </row>
    <row r="35" spans="1:13">
      <c r="A35" s="151" t="s">
        <v>120</v>
      </c>
      <c r="G35" s="147">
        <v>3</v>
      </c>
      <c r="H35" s="152" t="s">
        <v>269</v>
      </c>
      <c r="I35" s="143">
        <v>22000</v>
      </c>
      <c r="J35" s="145"/>
      <c r="K35" s="121"/>
      <c r="L35" s="121"/>
      <c r="M35" s="150"/>
    </row>
    <row r="36" spans="1:13">
      <c r="A36" s="101" t="s">
        <v>121</v>
      </c>
      <c r="G36" s="147">
        <v>4</v>
      </c>
      <c r="H36" s="152" t="s">
        <v>270</v>
      </c>
      <c r="I36" s="143">
        <v>22000</v>
      </c>
      <c r="J36" s="145"/>
      <c r="K36" s="121"/>
      <c r="L36" s="121"/>
      <c r="M36" s="150"/>
    </row>
    <row r="37" spans="1:13">
      <c r="A37" s="262" t="s">
        <v>264</v>
      </c>
      <c r="G37" s="147">
        <v>5</v>
      </c>
      <c r="H37" s="152" t="s">
        <v>271</v>
      </c>
      <c r="I37" s="143">
        <v>22000</v>
      </c>
      <c r="J37" s="145"/>
      <c r="K37" s="121"/>
      <c r="L37" s="121"/>
      <c r="M37" s="150"/>
    </row>
    <row r="38" spans="1:13">
      <c r="A38" s="101" t="s">
        <v>122</v>
      </c>
      <c r="G38" s="147">
        <v>6</v>
      </c>
      <c r="H38" s="152" t="s">
        <v>272</v>
      </c>
      <c r="I38" s="143">
        <v>22000</v>
      </c>
      <c r="J38" s="145"/>
      <c r="K38" s="121"/>
      <c r="L38" s="121"/>
      <c r="M38" s="150"/>
    </row>
    <row r="39" spans="1:13">
      <c r="A39" s="261" t="s">
        <v>222</v>
      </c>
      <c r="G39" s="147">
        <v>7</v>
      </c>
      <c r="H39" s="152" t="s">
        <v>273</v>
      </c>
      <c r="I39" s="143">
        <v>22000</v>
      </c>
      <c r="J39" s="145"/>
      <c r="K39" s="121"/>
      <c r="L39" s="121"/>
      <c r="M39" s="150"/>
    </row>
    <row r="40" spans="1:13">
      <c r="A40" s="262" t="s">
        <v>263</v>
      </c>
      <c r="G40" s="147">
        <v>8</v>
      </c>
      <c r="H40" s="152" t="s">
        <v>274</v>
      </c>
      <c r="I40" s="143">
        <v>22000</v>
      </c>
      <c r="J40" s="145"/>
      <c r="K40" s="121"/>
      <c r="L40" s="121"/>
      <c r="M40" s="150"/>
    </row>
    <row r="41" spans="1:13">
      <c r="G41" s="147">
        <v>9</v>
      </c>
      <c r="H41" s="152" t="s">
        <v>275</v>
      </c>
      <c r="I41" s="143">
        <v>22000</v>
      </c>
      <c r="J41" s="145"/>
      <c r="K41" s="121"/>
      <c r="L41" s="121"/>
      <c r="M41" s="150"/>
    </row>
    <row r="42" spans="1:13">
      <c r="G42" s="147">
        <v>10</v>
      </c>
      <c r="H42" s="152" t="s">
        <v>276</v>
      </c>
      <c r="I42" s="143">
        <v>22000</v>
      </c>
      <c r="J42" s="145"/>
      <c r="K42" s="121"/>
      <c r="L42" s="121"/>
      <c r="M42" s="150"/>
    </row>
    <row r="43" spans="1:13" ht="13.5" thickBot="1">
      <c r="G43" s="153">
        <v>11</v>
      </c>
      <c r="H43" s="154" t="s">
        <v>277</v>
      </c>
      <c r="I43" s="143">
        <v>22000</v>
      </c>
      <c r="J43" s="155"/>
      <c r="K43" s="121"/>
      <c r="L43" s="156"/>
      <c r="M43" s="150"/>
    </row>
    <row r="44" spans="1:13">
      <c r="A44" s="220"/>
      <c r="G44" s="157"/>
      <c r="H44" s="158"/>
      <c r="I44" s="159"/>
      <c r="J44" s="121"/>
      <c r="K44" s="121"/>
      <c r="L44" s="121"/>
      <c r="M44" s="150"/>
    </row>
    <row r="45" spans="1:13" ht="15.75">
      <c r="A45" s="107"/>
      <c r="G45" s="160" t="s">
        <v>123</v>
      </c>
      <c r="H45" s="141"/>
      <c r="I45" s="161">
        <f>SUM(I33:I43)</f>
        <v>242000</v>
      </c>
      <c r="J45" s="162"/>
      <c r="K45" s="118"/>
      <c r="L45" s="118"/>
      <c r="M45" s="118"/>
    </row>
    <row r="46" spans="1:13">
      <c r="B46" s="101" t="s">
        <v>1</v>
      </c>
      <c r="G46" s="112" t="s">
        <v>124</v>
      </c>
      <c r="H46" s="118"/>
      <c r="I46" s="163">
        <f>I11-I45</f>
        <v>-53963</v>
      </c>
      <c r="J46" s="118"/>
      <c r="K46" s="118"/>
      <c r="L46" s="118"/>
      <c r="M46" s="118"/>
    </row>
    <row r="47" spans="1:13" ht="13.5" thickBot="1">
      <c r="A47" s="164"/>
      <c r="B47" s="101" t="s">
        <v>1</v>
      </c>
      <c r="G47" s="137" t="s">
        <v>125</v>
      </c>
      <c r="H47" s="140"/>
      <c r="I47" s="165">
        <f>SUM(I45:I46)</f>
        <v>188037</v>
      </c>
      <c r="J47" s="118"/>
      <c r="K47" s="118"/>
      <c r="L47" s="118"/>
      <c r="M47" s="118"/>
    </row>
  </sheetData>
  <phoneticPr fontId="4" type="noConversion"/>
  <pageMargins left="0.75" right="0.75" top="1" bottom="1" header="0.5" footer="0.5"/>
  <pageSetup paperSize="5" scale="74" orientation="landscape" r:id="rId1"/>
  <headerFooter alignWithMargins="0">
    <oddFooter>&amp;L&amp;D &amp;T &amp;F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Z187"/>
  <sheetViews>
    <sheetView showGridLines="0" tabSelected="1" zoomScale="75" workbookViewId="0">
      <selection activeCell="J4" sqref="J4"/>
    </sheetView>
  </sheetViews>
  <sheetFormatPr defaultColWidth="8" defaultRowHeight="15"/>
  <cols>
    <col min="1" max="1" width="1.44140625" customWidth="1"/>
    <col min="2" max="2" width="4.5546875" customWidth="1"/>
    <col min="3" max="3" width="9.21875" customWidth="1"/>
    <col min="4" max="9" width="12.33203125" customWidth="1"/>
    <col min="10" max="12" width="13.109375" customWidth="1"/>
    <col min="13" max="15" width="10.5546875" customWidth="1"/>
    <col min="16" max="16" width="11.33203125" customWidth="1"/>
    <col min="17" max="17" width="11" customWidth="1"/>
    <col min="18" max="18" width="14.21875" customWidth="1"/>
    <col min="19" max="19" width="12.21875" customWidth="1"/>
    <col min="20" max="20" width="1.44140625" hidden="1" customWidth="1"/>
    <col min="21" max="21" width="11.88671875" customWidth="1"/>
    <col min="22" max="22" width="8.88671875" customWidth="1"/>
    <col min="23" max="23" width="12.33203125" customWidth="1"/>
    <col min="24" max="24" width="1.44140625" customWidth="1"/>
    <col min="25" max="25" width="10.77734375" customWidth="1"/>
    <col min="26" max="26" width="1.44140625" customWidth="1"/>
    <col min="27" max="27" width="8" customWidth="1"/>
    <col min="28" max="28" width="1.44140625" customWidth="1"/>
    <col min="29" max="29" width="17.77734375" customWidth="1"/>
    <col min="30" max="30" width="1.44140625" customWidth="1"/>
    <col min="31" max="31" width="17.77734375" customWidth="1"/>
    <col min="32" max="32" width="1.44140625" customWidth="1"/>
  </cols>
  <sheetData>
    <row r="2" spans="1:25" ht="18.75"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  <c r="R2" s="6"/>
    </row>
    <row r="3" spans="1:25" ht="18.75">
      <c r="C3" s="5"/>
      <c r="D3" s="5"/>
      <c r="E3" s="5"/>
      <c r="F3" s="5"/>
      <c r="G3" s="5"/>
      <c r="H3" s="5"/>
      <c r="I3" s="5"/>
      <c r="J3" s="5" t="s">
        <v>314</v>
      </c>
      <c r="K3" s="5"/>
      <c r="L3" s="5"/>
      <c r="M3" s="5"/>
      <c r="N3" s="5"/>
      <c r="O3" s="5"/>
      <c r="P3" s="5"/>
      <c r="Q3" s="6"/>
      <c r="R3" s="6"/>
    </row>
    <row r="4" spans="1:25" ht="15.75">
      <c r="H4" s="40"/>
      <c r="I4" s="40" t="s">
        <v>87</v>
      </c>
      <c r="J4" s="40"/>
      <c r="R4" s="6"/>
    </row>
    <row r="5" spans="1:25" ht="18">
      <c r="A5" s="32" t="s">
        <v>1</v>
      </c>
      <c r="B5" s="32"/>
      <c r="C5" s="32"/>
      <c r="D5" s="32"/>
      <c r="E5" s="32"/>
      <c r="F5" s="32"/>
      <c r="G5" s="32"/>
      <c r="H5" s="65"/>
      <c r="I5" s="32"/>
      <c r="J5" s="436" t="s">
        <v>313</v>
      </c>
      <c r="K5" s="32"/>
      <c r="L5" s="32"/>
      <c r="M5" s="32"/>
      <c r="N5" s="32"/>
      <c r="O5" s="32"/>
      <c r="P5" s="32"/>
      <c r="Q5" s="32"/>
      <c r="R5" s="32"/>
      <c r="S5" s="42"/>
      <c r="T5" s="32"/>
      <c r="U5" s="32"/>
      <c r="V5" s="32"/>
      <c r="W5" s="32"/>
    </row>
    <row r="6" spans="1: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</row>
    <row r="7" spans="1: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</row>
    <row r="8" spans="1:25" s="40" customFormat="1" ht="15.75">
      <c r="A8" s="65"/>
      <c r="B8" s="65"/>
      <c r="C8" s="66" t="s">
        <v>75</v>
      </c>
      <c r="D8" s="66">
        <v>2003</v>
      </c>
      <c r="E8" s="66">
        <v>2011</v>
      </c>
      <c r="F8" s="66" t="s">
        <v>72</v>
      </c>
      <c r="G8" s="66">
        <v>2003</v>
      </c>
      <c r="H8" s="66">
        <v>2011</v>
      </c>
      <c r="I8" s="66" t="s">
        <v>72</v>
      </c>
      <c r="J8" s="66">
        <v>2003</v>
      </c>
      <c r="K8" s="66">
        <v>2011</v>
      </c>
      <c r="L8" s="66" t="s">
        <v>72</v>
      </c>
      <c r="M8" s="66">
        <v>2003</v>
      </c>
      <c r="N8" s="66">
        <v>2011</v>
      </c>
      <c r="O8" s="66" t="s">
        <v>72</v>
      </c>
      <c r="P8" s="66">
        <v>2011</v>
      </c>
      <c r="Q8" s="66">
        <v>2011</v>
      </c>
      <c r="R8" s="66"/>
      <c r="S8" s="66"/>
      <c r="T8" s="66"/>
      <c r="U8" s="66"/>
      <c r="V8" s="66"/>
      <c r="W8" s="65"/>
    </row>
    <row r="9" spans="1:25" ht="15.75">
      <c r="C9" s="67" t="s">
        <v>46</v>
      </c>
      <c r="D9" s="33" t="s">
        <v>70</v>
      </c>
      <c r="E9" s="81">
        <f>'final award 6-2-11'!C26-'2011 Svcs and Adm Alloca  updat'!D35</f>
        <v>955198</v>
      </c>
      <c r="F9" s="427" t="s">
        <v>288</v>
      </c>
      <c r="G9" s="10" t="s">
        <v>68</v>
      </c>
      <c r="H9" s="81">
        <f>'final award 6-2-11'!D26-'2011 Svcs and Adm Alloca  updat'!G35</f>
        <v>5384549</v>
      </c>
      <c r="I9" s="427" t="s">
        <v>288</v>
      </c>
      <c r="J9" s="10" t="s">
        <v>69</v>
      </c>
      <c r="K9" s="81">
        <f>'final award 6-2-11'!E26-'2011 Svcs and Adm Alloca  updat'!J35</f>
        <v>2106979</v>
      </c>
      <c r="L9" s="427" t="s">
        <v>288</v>
      </c>
      <c r="M9" s="10" t="s">
        <v>71</v>
      </c>
      <c r="N9" s="81">
        <f>'final award 6-2-11'!G26-'2011 Svcs and Adm Alloca  updat'!M35</f>
        <v>56455</v>
      </c>
      <c r="O9" s="427" t="s">
        <v>288</v>
      </c>
      <c r="P9" s="67" t="s">
        <v>59</v>
      </c>
      <c r="Q9" s="67" t="s">
        <v>48</v>
      </c>
      <c r="R9" s="427" t="s">
        <v>288</v>
      </c>
      <c r="S9" s="259" t="s">
        <v>219</v>
      </c>
      <c r="T9" s="10"/>
      <c r="U9" s="10"/>
      <c r="V9" s="10"/>
    </row>
    <row r="10" spans="1:25" ht="15.75">
      <c r="B10" t="s">
        <v>64</v>
      </c>
      <c r="C10" s="67" t="s">
        <v>76</v>
      </c>
      <c r="D10" s="10" t="s">
        <v>67</v>
      </c>
      <c r="E10" s="33" t="s">
        <v>52</v>
      </c>
      <c r="F10" s="67" t="s">
        <v>79</v>
      </c>
      <c r="G10" s="10" t="s">
        <v>40</v>
      </c>
      <c r="H10" s="33" t="s">
        <v>52</v>
      </c>
      <c r="I10" s="67" t="s">
        <v>88</v>
      </c>
      <c r="J10" s="10" t="s">
        <v>50</v>
      </c>
      <c r="K10" s="33" t="s">
        <v>52</v>
      </c>
      <c r="L10" s="67" t="s">
        <v>80</v>
      </c>
      <c r="M10" s="10" t="s">
        <v>55</v>
      </c>
      <c r="N10" s="33" t="s">
        <v>52</v>
      </c>
      <c r="O10" s="67" t="s">
        <v>82</v>
      </c>
      <c r="P10" s="67" t="s">
        <v>25</v>
      </c>
      <c r="Q10" s="67" t="s">
        <v>25</v>
      </c>
      <c r="R10" s="67" t="s">
        <v>41</v>
      </c>
      <c r="S10" s="10" t="s">
        <v>41</v>
      </c>
      <c r="T10" s="10"/>
      <c r="U10" s="10"/>
      <c r="V10" s="30" t="s">
        <v>73</v>
      </c>
    </row>
    <row r="11" spans="1:25" ht="15.75">
      <c r="C11" s="67" t="s">
        <v>220</v>
      </c>
      <c r="D11" s="10" t="s">
        <v>65</v>
      </c>
      <c r="E11" s="10" t="s">
        <v>78</v>
      </c>
      <c r="F11" s="66" t="s">
        <v>67</v>
      </c>
      <c r="G11" s="10" t="s">
        <v>53</v>
      </c>
      <c r="H11" s="10" t="s">
        <v>78</v>
      </c>
      <c r="I11" s="66" t="s">
        <v>40</v>
      </c>
      <c r="J11" s="10" t="s">
        <v>53</v>
      </c>
      <c r="K11" s="10" t="s">
        <v>78</v>
      </c>
      <c r="L11" s="66" t="s">
        <v>81</v>
      </c>
      <c r="M11" s="10" t="s">
        <v>38</v>
      </c>
      <c r="N11" s="10" t="s">
        <v>78</v>
      </c>
      <c r="O11" s="66" t="s">
        <v>83</v>
      </c>
      <c r="P11" s="67" t="s">
        <v>27</v>
      </c>
      <c r="Q11" s="67" t="s">
        <v>27</v>
      </c>
      <c r="R11" s="67" t="s">
        <v>33</v>
      </c>
      <c r="S11" s="10" t="s">
        <v>30</v>
      </c>
      <c r="T11" s="10"/>
      <c r="U11" s="10" t="s">
        <v>43</v>
      </c>
      <c r="V11" s="31" t="s">
        <v>74</v>
      </c>
      <c r="W11" t="s">
        <v>60</v>
      </c>
    </row>
    <row r="12" spans="1:25" ht="16.5" thickBot="1">
      <c r="C12" s="67" t="s">
        <v>77</v>
      </c>
      <c r="D12" s="43"/>
      <c r="E12" s="43" t="s">
        <v>243</v>
      </c>
      <c r="F12" s="66" t="s">
        <v>65</v>
      </c>
      <c r="G12" s="43"/>
      <c r="H12" s="43" t="s">
        <v>243</v>
      </c>
      <c r="I12" s="66" t="s">
        <v>53</v>
      </c>
      <c r="J12" s="43"/>
      <c r="K12" s="43" t="s">
        <v>243</v>
      </c>
      <c r="L12" s="66" t="s">
        <v>53</v>
      </c>
      <c r="M12" s="43"/>
      <c r="N12" s="43" t="s">
        <v>243</v>
      </c>
      <c r="O12" s="66" t="s">
        <v>38</v>
      </c>
      <c r="P12" s="43" t="s">
        <v>294</v>
      </c>
      <c r="Q12" s="43" t="s">
        <v>294</v>
      </c>
      <c r="R12" s="67"/>
      <c r="S12" s="10"/>
      <c r="T12" s="10"/>
      <c r="U12" s="33"/>
      <c r="V12" s="33"/>
    </row>
    <row r="13" spans="1:25" ht="16.5" thickBot="1">
      <c r="A13" s="52"/>
      <c r="B13" s="53" t="s">
        <v>8</v>
      </c>
      <c r="C13" s="54">
        <v>3.1020299958736966E-2</v>
      </c>
      <c r="D13" s="55">
        <v>728288</v>
      </c>
      <c r="E13" s="45">
        <f>ROUND($E$9*$C13,0)+1</f>
        <v>29632</v>
      </c>
      <c r="F13" s="98">
        <f>SUM(D13:E13)</f>
        <v>757920</v>
      </c>
      <c r="G13" s="55">
        <v>699077</v>
      </c>
      <c r="H13" s="45">
        <f>ROUND($H$9*$C13,0)</f>
        <v>167030</v>
      </c>
      <c r="I13" s="82">
        <f>SUM(G13:H13)</f>
        <v>866107</v>
      </c>
      <c r="J13" s="58">
        <v>368452</v>
      </c>
      <c r="K13" s="57">
        <f>ROUND($K$9*$C13,0)</f>
        <v>65359</v>
      </c>
      <c r="L13" s="82">
        <f>SUM(J13:K13)</f>
        <v>433811</v>
      </c>
      <c r="M13" s="58">
        <v>276870</v>
      </c>
      <c r="N13" s="57">
        <f>ROUND($N$9*$C13,0)</f>
        <v>1751</v>
      </c>
      <c r="O13" s="82">
        <f>SUM(M13:N13)</f>
        <v>278621</v>
      </c>
      <c r="P13" s="82">
        <f>'2011 Admin Formula '!L13</f>
        <v>360957</v>
      </c>
      <c r="Q13" s="84">
        <f>'2011 Admin Formula '!M13</f>
        <v>15212</v>
      </c>
      <c r="R13" s="92">
        <f>+F13+I13+L13+O13+P13+Q13</f>
        <v>2712628</v>
      </c>
      <c r="S13" s="56">
        <v>2764774</v>
      </c>
      <c r="T13" s="55"/>
      <c r="U13" s="57">
        <f>R13-S13</f>
        <v>-52146</v>
      </c>
      <c r="V13" s="59">
        <f>SUM(U13/S13)</f>
        <v>-1.8860854449586115E-2</v>
      </c>
      <c r="W13" s="34">
        <f>+F13+I13+L13+O13</f>
        <v>2336459</v>
      </c>
      <c r="Y13" s="1"/>
    </row>
    <row r="14" spans="1:25" ht="15.75">
      <c r="A14" s="46"/>
      <c r="B14" s="49"/>
      <c r="C14" s="60"/>
      <c r="D14" s="61"/>
      <c r="E14" s="45"/>
      <c r="F14" s="90"/>
      <c r="G14" s="61"/>
      <c r="H14" s="45"/>
      <c r="I14" s="90"/>
      <c r="J14" s="61"/>
      <c r="K14" s="45"/>
      <c r="L14" s="83"/>
      <c r="M14" s="61"/>
      <c r="N14" s="44"/>
      <c r="O14" s="87"/>
      <c r="P14" s="83"/>
      <c r="Q14" s="83"/>
      <c r="R14" s="93"/>
      <c r="S14" s="62"/>
      <c r="T14" s="61"/>
      <c r="U14" s="44"/>
      <c r="V14" s="45"/>
      <c r="W14" s="34"/>
      <c r="Y14" s="1"/>
    </row>
    <row r="15" spans="1:25" ht="16.5" thickBot="1">
      <c r="A15" s="48"/>
      <c r="B15" s="25" t="s">
        <v>11</v>
      </c>
      <c r="C15" s="63">
        <v>3.7121761286243692E-2</v>
      </c>
      <c r="D15" s="28">
        <v>839980</v>
      </c>
      <c r="E15" s="20">
        <f>ROUND($E$9*$C15,0)</f>
        <v>35459</v>
      </c>
      <c r="F15" s="91">
        <f>SUM(D15:E15)</f>
        <v>875439</v>
      </c>
      <c r="G15" s="28">
        <v>806289</v>
      </c>
      <c r="H15" s="20">
        <f>ROUND($H$9*$C15,0)</f>
        <v>199884</v>
      </c>
      <c r="I15" s="91">
        <f>SUM(G15:H15)</f>
        <v>1006173</v>
      </c>
      <c r="J15" s="28">
        <v>424959</v>
      </c>
      <c r="K15" s="20">
        <f>ROUND($K$9*$C15,0)</f>
        <v>78215</v>
      </c>
      <c r="L15" s="84">
        <f>SUM(J15:K15)</f>
        <v>503174</v>
      </c>
      <c r="M15" s="28">
        <v>319331</v>
      </c>
      <c r="N15" s="17">
        <f>ROUND($N$9*$C15,0)</f>
        <v>2096</v>
      </c>
      <c r="O15" s="88">
        <f>SUM(M15:N15)</f>
        <v>321427</v>
      </c>
      <c r="P15" s="84">
        <f>'2011 Admin Formula '!L15</f>
        <v>488471</v>
      </c>
      <c r="Q15" s="84">
        <f>'2011 Admin Formula '!M15</f>
        <v>20586</v>
      </c>
      <c r="R15" s="94">
        <f>+F15+I15+L15+O15+P15+Q15</f>
        <v>3215270</v>
      </c>
      <c r="S15" s="29">
        <v>3282374</v>
      </c>
      <c r="T15" s="28"/>
      <c r="U15" s="17">
        <f>R15-S15</f>
        <v>-67104</v>
      </c>
      <c r="V15" s="64">
        <f>SUM(U15/S15)</f>
        <v>-2.0443739805396946E-2</v>
      </c>
      <c r="W15" s="34">
        <f>+F15+I15+L15+O15</f>
        <v>2706213</v>
      </c>
      <c r="Y15" s="1"/>
    </row>
    <row r="16" spans="1:25" ht="15.75">
      <c r="A16" s="47"/>
      <c r="B16" s="50"/>
      <c r="C16" s="8"/>
      <c r="D16" s="34"/>
      <c r="E16" s="19"/>
      <c r="F16" s="99"/>
      <c r="G16" s="16"/>
      <c r="H16" s="16"/>
      <c r="I16" s="85"/>
      <c r="J16" s="19"/>
      <c r="K16" s="19"/>
      <c r="L16" s="86"/>
      <c r="M16" s="26"/>
      <c r="N16" s="26"/>
      <c r="O16" s="89"/>
      <c r="P16" s="83"/>
      <c r="Q16" s="83"/>
      <c r="R16" s="95"/>
      <c r="S16" s="19"/>
      <c r="T16" s="34"/>
      <c r="U16" s="16"/>
      <c r="V16" s="19"/>
      <c r="W16" s="34"/>
      <c r="Y16" s="1"/>
    </row>
    <row r="17" spans="1:25" ht="16.5" thickBot="1">
      <c r="A17" s="47"/>
      <c r="B17" s="50" t="s">
        <v>13</v>
      </c>
      <c r="C17" s="51">
        <v>9.8324437897550354E-2</v>
      </c>
      <c r="D17" s="34">
        <v>2215211</v>
      </c>
      <c r="E17" s="20">
        <f>ROUND($E$9*$C17,0)</f>
        <v>93919</v>
      </c>
      <c r="F17" s="89">
        <f>SUM(D17:E17)</f>
        <v>2309130</v>
      </c>
      <c r="G17" s="16">
        <v>2126362</v>
      </c>
      <c r="H17" s="20">
        <f>ROUND($H$9*$C17,0)</f>
        <v>529433</v>
      </c>
      <c r="I17" s="86">
        <f>SUM(G17:H17)</f>
        <v>2655795</v>
      </c>
      <c r="J17" s="19">
        <v>1120710</v>
      </c>
      <c r="K17" s="19">
        <f>ROUND($K$9*$C17,0)</f>
        <v>207168</v>
      </c>
      <c r="L17" s="86">
        <f>SUM(J17:K17)</f>
        <v>1327878</v>
      </c>
      <c r="M17" s="26">
        <v>842147</v>
      </c>
      <c r="N17" s="16">
        <f>ROUND($N$9*$C17,0)</f>
        <v>5551</v>
      </c>
      <c r="O17" s="86">
        <f>SUM(M17:N17)</f>
        <v>847698</v>
      </c>
      <c r="P17" s="84">
        <f>'2011 Admin Formula '!L17</f>
        <v>923071</v>
      </c>
      <c r="Q17" s="84">
        <f>'2011 Admin Formula '!M17</f>
        <v>38901</v>
      </c>
      <c r="R17" s="94">
        <f>+F17+I17+L17+O17+P17+Q17</f>
        <v>8102473</v>
      </c>
      <c r="S17" s="29">
        <v>8270213</v>
      </c>
      <c r="T17" s="34"/>
      <c r="U17" s="16">
        <f>R17-S17</f>
        <v>-167740</v>
      </c>
      <c r="V17" s="36">
        <f>SUM(U17/S17)</f>
        <v>-2.028242803419936E-2</v>
      </c>
      <c r="W17" s="34">
        <f>+F17+I17+L17+O17</f>
        <v>7140501</v>
      </c>
      <c r="Y17" s="1"/>
    </row>
    <row r="18" spans="1:25" ht="15.75">
      <c r="A18" s="46"/>
      <c r="B18" s="49"/>
      <c r="C18" s="60"/>
      <c r="D18" s="61"/>
      <c r="E18" s="45"/>
      <c r="F18" s="100"/>
      <c r="G18" s="44"/>
      <c r="H18" s="44"/>
      <c r="I18" s="87"/>
      <c r="J18" s="45"/>
      <c r="K18" s="45"/>
      <c r="L18" s="83"/>
      <c r="M18" s="62"/>
      <c r="N18" s="62"/>
      <c r="O18" s="90"/>
      <c r="P18" s="83"/>
      <c r="Q18" s="83"/>
      <c r="R18" s="96"/>
      <c r="S18" s="45"/>
      <c r="T18" s="61"/>
      <c r="U18" s="44"/>
      <c r="V18" s="45"/>
      <c r="W18" s="34"/>
      <c r="Y18" s="1"/>
    </row>
    <row r="19" spans="1:25" ht="16.5" thickBot="1">
      <c r="A19" s="48"/>
      <c r="B19" s="25" t="s">
        <v>14</v>
      </c>
      <c r="C19" s="63">
        <v>8.9671814178561599E-2</v>
      </c>
      <c r="D19" s="28">
        <v>1969794</v>
      </c>
      <c r="E19" s="20">
        <f>ROUND($E$9*$C19,0)</f>
        <v>85654</v>
      </c>
      <c r="F19" s="91">
        <f>SUM(D19:E19)</f>
        <v>2055448</v>
      </c>
      <c r="G19" s="17">
        <v>1890788</v>
      </c>
      <c r="H19" s="20">
        <f>ROUND($H$9*$C19,0)</f>
        <v>482842</v>
      </c>
      <c r="I19" s="84">
        <f>SUM(G19:H19)</f>
        <v>2373630</v>
      </c>
      <c r="J19" s="20">
        <v>996550</v>
      </c>
      <c r="K19" s="20">
        <f>ROUND($K$9*$C19,0)</f>
        <v>188937</v>
      </c>
      <c r="L19" s="84">
        <f>SUM(J19:K19)</f>
        <v>1185487</v>
      </c>
      <c r="M19" s="29">
        <v>748848</v>
      </c>
      <c r="N19" s="17">
        <f>ROUND($N$9*$C19,0)</f>
        <v>5062</v>
      </c>
      <c r="O19" s="84">
        <f>SUM(M19:N19)</f>
        <v>753910</v>
      </c>
      <c r="P19" s="84">
        <f>'2011 Admin Formula '!L19</f>
        <v>746295</v>
      </c>
      <c r="Q19" s="84">
        <f>'2011 Admin Formula '!M19</f>
        <v>31451</v>
      </c>
      <c r="R19" s="94">
        <f>+F19+I19+L19+O19+P19+Q19</f>
        <v>7146221</v>
      </c>
      <c r="S19" s="29">
        <v>7296614</v>
      </c>
      <c r="T19" s="28"/>
      <c r="U19" s="17">
        <f>R19-S19</f>
        <v>-150393</v>
      </c>
      <c r="V19" s="64">
        <f>SUM(U19/S19)</f>
        <v>-2.0611341096020704E-2</v>
      </c>
      <c r="W19" s="34">
        <f>+F19+I19+L19+O19</f>
        <v>6368475</v>
      </c>
      <c r="Y19" s="1"/>
    </row>
    <row r="20" spans="1:25" ht="15.75">
      <c r="A20" s="47"/>
      <c r="B20" s="50"/>
      <c r="C20" s="8"/>
      <c r="D20" s="34"/>
      <c r="E20" s="19"/>
      <c r="F20" s="99"/>
      <c r="G20" s="16"/>
      <c r="H20" s="45"/>
      <c r="I20" s="99"/>
      <c r="J20" s="19"/>
      <c r="K20" s="19"/>
      <c r="L20" s="86"/>
      <c r="M20" s="26"/>
      <c r="N20" s="26"/>
      <c r="O20" s="89"/>
      <c r="P20" s="86"/>
      <c r="Q20" s="86"/>
      <c r="R20" s="95"/>
      <c r="S20" s="19"/>
      <c r="T20" s="34"/>
      <c r="U20" s="16"/>
      <c r="V20" s="19"/>
      <c r="W20" s="34"/>
      <c r="Y20" s="1"/>
    </row>
    <row r="21" spans="1:25" ht="16.5" thickBot="1">
      <c r="A21" s="47"/>
      <c r="B21" s="50" t="s">
        <v>15</v>
      </c>
      <c r="C21" s="51">
        <v>7.6649547301827714E-2</v>
      </c>
      <c r="D21" s="34">
        <v>1821257</v>
      </c>
      <c r="E21" s="20">
        <f>ROUND($E$9*$C21,0)</f>
        <v>73215</v>
      </c>
      <c r="F21" s="89">
        <f>SUM(D21:E21)</f>
        <v>1894472</v>
      </c>
      <c r="G21" s="16">
        <v>1748209</v>
      </c>
      <c r="H21" s="20">
        <f>ROUND($H$9*$C21,0)</f>
        <v>412723</v>
      </c>
      <c r="I21" s="89">
        <f>SUM(G21:H21)</f>
        <v>2160932</v>
      </c>
      <c r="J21" s="19">
        <v>921403</v>
      </c>
      <c r="K21" s="19">
        <f>ROUND($K$9*$C21,0)</f>
        <v>161499</v>
      </c>
      <c r="L21" s="86">
        <f>SUM(J21:K21)</f>
        <v>1082902</v>
      </c>
      <c r="M21" s="26">
        <v>692379</v>
      </c>
      <c r="N21" s="16">
        <f>ROUND($N$9*$C21,0)</f>
        <v>4327</v>
      </c>
      <c r="O21" s="86">
        <f>SUM(M21:N21)</f>
        <v>696706</v>
      </c>
      <c r="P21" s="84">
        <f>'2011 Admin Formula '!L21</f>
        <v>677231</v>
      </c>
      <c r="Q21" s="84">
        <f>'2011 Admin Formula '!M21</f>
        <v>28540</v>
      </c>
      <c r="R21" s="94">
        <f>+F21+I21+L21+O21+P21+Q21</f>
        <v>6540783</v>
      </c>
      <c r="S21" s="29">
        <v>6671051</v>
      </c>
      <c r="T21" s="34"/>
      <c r="U21" s="16">
        <f>R21-S21</f>
        <v>-130268</v>
      </c>
      <c r="V21" s="36">
        <f>SUM(U21/S21)</f>
        <v>-1.9527357833121047E-2</v>
      </c>
      <c r="W21" s="34">
        <f>+F21+I21+L21+O21</f>
        <v>5835012</v>
      </c>
      <c r="Y21" s="1"/>
    </row>
    <row r="22" spans="1:25" ht="15.75">
      <c r="A22" s="46"/>
      <c r="B22" s="49"/>
      <c r="C22" s="60"/>
      <c r="D22" s="61"/>
      <c r="E22" s="45"/>
      <c r="F22" s="100"/>
      <c r="G22" s="44"/>
      <c r="H22" s="16"/>
      <c r="I22" s="87"/>
      <c r="J22" s="45"/>
      <c r="K22" s="45"/>
      <c r="L22" s="83"/>
      <c r="M22" s="62"/>
      <c r="N22" s="62"/>
      <c r="O22" s="90"/>
      <c r="P22" s="83"/>
      <c r="Q22" s="83"/>
      <c r="R22" s="96"/>
      <c r="S22" s="45"/>
      <c r="T22" s="61"/>
      <c r="U22" s="44"/>
      <c r="V22" s="45"/>
      <c r="W22" s="34"/>
      <c r="Y22" s="1"/>
    </row>
    <row r="23" spans="1:25" ht="16.5" thickBot="1">
      <c r="A23" s="48"/>
      <c r="B23" s="25" t="s">
        <v>17</v>
      </c>
      <c r="C23" s="63">
        <v>0.10848927972954844</v>
      </c>
      <c r="D23" s="28">
        <v>2535369</v>
      </c>
      <c r="E23" s="20">
        <f>ROUND($E$9*$C23,0)</f>
        <v>103629</v>
      </c>
      <c r="F23" s="91">
        <f>SUM(D23:E23)</f>
        <v>2638998</v>
      </c>
      <c r="G23" s="17">
        <v>2433679</v>
      </c>
      <c r="H23" s="20">
        <f>ROUND($H$9*$C23,0)</f>
        <v>584166</v>
      </c>
      <c r="I23" s="84">
        <f>SUM(G23:H23)</f>
        <v>3017845</v>
      </c>
      <c r="J23" s="20">
        <v>1282683</v>
      </c>
      <c r="K23" s="20">
        <f>ROUND($K$9*$C23,0)</f>
        <v>228585</v>
      </c>
      <c r="L23" s="84">
        <f>SUM(J23:K23)</f>
        <v>1511268</v>
      </c>
      <c r="M23" s="29">
        <v>963860</v>
      </c>
      <c r="N23" s="17">
        <f>ROUND($N$9*$C23,0)</f>
        <v>6125</v>
      </c>
      <c r="O23" s="84">
        <f>SUM(M23:N23)</f>
        <v>969985</v>
      </c>
      <c r="P23" s="84">
        <f>'2011 Admin Formula '!L23</f>
        <v>868562</v>
      </c>
      <c r="Q23" s="84">
        <f>'2011 Admin Formula '!M23</f>
        <v>36604</v>
      </c>
      <c r="R23" s="94">
        <f>+F23+I23+L23+O23+P23+Q23</f>
        <v>9043262</v>
      </c>
      <c r="S23" s="29">
        <v>9223415</v>
      </c>
      <c r="T23" s="28"/>
      <c r="U23" s="17">
        <f>R23-S23</f>
        <v>-180153</v>
      </c>
      <c r="V23" s="64">
        <f>SUM(U23/S23)</f>
        <v>-1.9532136415850311E-2</v>
      </c>
      <c r="W23" s="34">
        <f>+F23+I23+L23+O23-6000</f>
        <v>8132096</v>
      </c>
      <c r="Y23" s="1"/>
    </row>
    <row r="24" spans="1:25" ht="15.75">
      <c r="A24" s="47"/>
      <c r="B24" s="50"/>
      <c r="C24" s="8"/>
      <c r="D24" s="34"/>
      <c r="E24" s="19"/>
      <c r="F24" s="99"/>
      <c r="G24" s="16"/>
      <c r="H24" s="16"/>
      <c r="I24" s="85"/>
      <c r="J24" s="19"/>
      <c r="K24" s="19"/>
      <c r="L24" s="86"/>
      <c r="M24" s="26"/>
      <c r="N24" s="26"/>
      <c r="O24" s="89"/>
      <c r="P24" s="86"/>
      <c r="Q24" s="86"/>
      <c r="R24" s="95"/>
      <c r="S24" s="19"/>
      <c r="T24" s="34"/>
      <c r="U24" s="16"/>
      <c r="V24" s="19"/>
      <c r="W24" s="34"/>
      <c r="Y24" s="1"/>
    </row>
    <row r="25" spans="1:25" ht="16.5" thickBot="1">
      <c r="A25" s="47"/>
      <c r="B25" s="50" t="s">
        <v>21</v>
      </c>
      <c r="C25" s="51">
        <v>9.3068437903642845E-2</v>
      </c>
      <c r="D25" s="34">
        <v>1870352</v>
      </c>
      <c r="E25" s="20">
        <f>ROUND($E$9*$C25,0)</f>
        <v>88899</v>
      </c>
      <c r="F25" s="89">
        <f>SUM(D25:E25)</f>
        <v>1959251</v>
      </c>
      <c r="G25" s="16">
        <v>1795335</v>
      </c>
      <c r="H25" s="20">
        <f>ROUND($H$9*$C25,0)</f>
        <v>501132</v>
      </c>
      <c r="I25" s="86">
        <f>SUM(G25:H25)</f>
        <v>2296467</v>
      </c>
      <c r="J25" s="19">
        <v>946241</v>
      </c>
      <c r="K25" s="19">
        <f>ROUND($K$9*$C25,0)</f>
        <v>196093</v>
      </c>
      <c r="L25" s="86">
        <f>SUM(J25:K25)</f>
        <v>1142334</v>
      </c>
      <c r="M25" s="26">
        <v>711043</v>
      </c>
      <c r="N25" s="16">
        <f>ROUND($N$9*$C25,0)</f>
        <v>5254</v>
      </c>
      <c r="O25" s="86">
        <f>SUM(M25:N25)</f>
        <v>716297</v>
      </c>
      <c r="P25" s="84">
        <f>'2011 Admin Formula '!L25</f>
        <v>672701</v>
      </c>
      <c r="Q25" s="84">
        <f>'2011 Admin Formula '!M25</f>
        <v>28349</v>
      </c>
      <c r="R25" s="94">
        <f>+F25+I25+L25+O25+P25+Q25</f>
        <v>6815399</v>
      </c>
      <c r="S25" s="29">
        <v>6968486</v>
      </c>
      <c r="T25" s="34"/>
      <c r="U25" s="16">
        <f>R25-S25</f>
        <v>-153087</v>
      </c>
      <c r="V25" s="36">
        <f>SUM(U25/S25)</f>
        <v>-2.1968473496251553E-2</v>
      </c>
      <c r="W25" s="34">
        <f>+F25+I25+L25+O25</f>
        <v>6114349</v>
      </c>
      <c r="Y25" s="1"/>
    </row>
    <row r="26" spans="1:25" ht="15.75">
      <c r="A26" s="46"/>
      <c r="B26" s="49"/>
      <c r="C26" s="60"/>
      <c r="D26" s="61"/>
      <c r="E26" s="45"/>
      <c r="F26" s="100"/>
      <c r="G26" s="44"/>
      <c r="H26" s="44"/>
      <c r="I26" s="87"/>
      <c r="J26" s="45"/>
      <c r="K26" s="45"/>
      <c r="L26" s="83"/>
      <c r="M26" s="62"/>
      <c r="N26" s="62"/>
      <c r="O26" s="90"/>
      <c r="P26" s="83"/>
      <c r="Q26" s="83"/>
      <c r="R26" s="96"/>
      <c r="S26" s="45"/>
      <c r="T26" s="61"/>
      <c r="U26" s="44"/>
      <c r="V26" s="45"/>
      <c r="W26" s="34"/>
      <c r="Y26" s="1"/>
    </row>
    <row r="27" spans="1:25" ht="16.5" thickBot="1">
      <c r="A27" s="48"/>
      <c r="B27" s="25" t="s">
        <v>23</v>
      </c>
      <c r="C27" s="63">
        <v>8.9932282645722977E-2</v>
      </c>
      <c r="D27" s="28">
        <v>1920416</v>
      </c>
      <c r="E27" s="20">
        <f>ROUND($E$9*$C27,0)</f>
        <v>85903</v>
      </c>
      <c r="F27" s="91">
        <f>SUM(D27:E27)</f>
        <v>2006319</v>
      </c>
      <c r="G27" s="17">
        <v>1843391</v>
      </c>
      <c r="H27" s="20">
        <f>ROUND($H$9*$C27,0)</f>
        <v>484245</v>
      </c>
      <c r="I27" s="84">
        <f>SUM(G27:H27)</f>
        <v>2327636</v>
      </c>
      <c r="J27" s="20">
        <v>971569</v>
      </c>
      <c r="K27" s="20">
        <f>ROUND($K$9*$C27,0)</f>
        <v>189485</v>
      </c>
      <c r="L27" s="84">
        <f>SUM(J27:K27)</f>
        <v>1161054</v>
      </c>
      <c r="M27" s="29">
        <v>730076</v>
      </c>
      <c r="N27" s="17">
        <f>ROUND($N$9*$C27,0)</f>
        <v>5077</v>
      </c>
      <c r="O27" s="84">
        <f>SUM(M27:N27)</f>
        <v>735153</v>
      </c>
      <c r="P27" s="84">
        <f>'2011 Admin Formula '!L27</f>
        <v>779573</v>
      </c>
      <c r="Q27" s="84">
        <f>'2011 Admin Formula '!M27</f>
        <v>32853</v>
      </c>
      <c r="R27" s="94">
        <f>+F27+I27+L27+O27+P27+Q27</f>
        <v>7042588</v>
      </c>
      <c r="S27" s="29">
        <v>7195652</v>
      </c>
      <c r="T27" s="28"/>
      <c r="U27" s="17">
        <f>R27-S27</f>
        <v>-153064</v>
      </c>
      <c r="V27" s="64">
        <f>SUM(U27/S27)</f>
        <v>-2.1271734653093285E-2</v>
      </c>
      <c r="W27" s="34">
        <f>+F27+I27+L27+O27</f>
        <v>6230162</v>
      </c>
      <c r="Y27" s="1"/>
    </row>
    <row r="28" spans="1:25" ht="15.75">
      <c r="A28" s="47"/>
      <c r="B28" s="50"/>
      <c r="C28" s="8"/>
      <c r="D28" s="34"/>
      <c r="E28" s="19"/>
      <c r="F28" s="99"/>
      <c r="G28" s="16"/>
      <c r="H28" s="16"/>
      <c r="I28" s="85"/>
      <c r="J28" s="19"/>
      <c r="K28" s="19"/>
      <c r="L28" s="86"/>
      <c r="M28" s="26"/>
      <c r="N28" s="26"/>
      <c r="O28" s="89"/>
      <c r="P28" s="86"/>
      <c r="Q28" s="86"/>
      <c r="R28" s="95"/>
      <c r="S28" s="19"/>
      <c r="T28" s="34"/>
      <c r="U28" s="16"/>
      <c r="V28" s="19"/>
      <c r="W28" s="34"/>
      <c r="Y28" s="1"/>
    </row>
    <row r="29" spans="1:25" ht="16.5" thickBot="1">
      <c r="A29" s="47"/>
      <c r="B29" s="50" t="s">
        <v>24</v>
      </c>
      <c r="C29" s="51">
        <v>0.10284287667948488</v>
      </c>
      <c r="D29" s="34">
        <v>2307198</v>
      </c>
      <c r="E29" s="20">
        <f>ROUND($E$9*$C29,0)</f>
        <v>98235</v>
      </c>
      <c r="F29" s="89">
        <f>SUM(D29:E29)</f>
        <v>2405433</v>
      </c>
      <c r="G29" s="16">
        <v>2214659</v>
      </c>
      <c r="H29" s="20">
        <f>ROUND($H$9*$C29,0)</f>
        <v>553763</v>
      </c>
      <c r="I29" s="86">
        <f>SUM(G29:H29)</f>
        <v>2768422</v>
      </c>
      <c r="J29" s="19">
        <v>1167247</v>
      </c>
      <c r="K29" s="19">
        <f>ROUND($K$9*$C29,0)</f>
        <v>216688</v>
      </c>
      <c r="L29" s="86">
        <f>SUM(J29:K29)</f>
        <v>1383935</v>
      </c>
      <c r="M29" s="26">
        <v>877117</v>
      </c>
      <c r="N29" s="16">
        <f>ROUND($N$9*$C29,0)</f>
        <v>5806</v>
      </c>
      <c r="O29" s="86">
        <f>SUM(M29:N29)</f>
        <v>882923</v>
      </c>
      <c r="P29" s="84">
        <f>'2011 Admin Formula '!L29</f>
        <v>828349</v>
      </c>
      <c r="Q29" s="84">
        <f>'2011 Admin Formula '!M29</f>
        <v>34909</v>
      </c>
      <c r="R29" s="94">
        <f>+F29+I29+L29+O29+P29+Q29</f>
        <v>8303971</v>
      </c>
      <c r="S29" s="29">
        <v>8475731</v>
      </c>
      <c r="T29" s="34"/>
      <c r="U29" s="16">
        <f>R29-S29</f>
        <v>-171760</v>
      </c>
      <c r="V29" s="36">
        <f>SUM(U29/S29)</f>
        <v>-2.0264918742701955E-2</v>
      </c>
      <c r="W29" s="34">
        <f>+F29+I29+L29+O29</f>
        <v>7440713</v>
      </c>
      <c r="Y29" s="1"/>
    </row>
    <row r="30" spans="1:25" ht="15.75">
      <c r="A30" s="46"/>
      <c r="B30" s="49"/>
      <c r="C30" s="60"/>
      <c r="D30" s="61"/>
      <c r="E30" s="45"/>
      <c r="F30" s="100"/>
      <c r="G30" s="44"/>
      <c r="H30" s="44"/>
      <c r="I30" s="87"/>
      <c r="J30" s="45"/>
      <c r="K30" s="45"/>
      <c r="L30" s="83"/>
      <c r="M30" s="62"/>
      <c r="N30" s="62"/>
      <c r="O30" s="90"/>
      <c r="P30" s="83"/>
      <c r="Q30" s="83"/>
      <c r="R30" s="96"/>
      <c r="S30" s="45"/>
      <c r="T30" s="61"/>
      <c r="U30" s="44"/>
      <c r="V30" s="45"/>
      <c r="W30" s="34"/>
      <c r="Y30" s="1"/>
    </row>
    <row r="31" spans="1:25" ht="16.5" thickBot="1">
      <c r="A31" s="48"/>
      <c r="B31" s="25" t="s">
        <v>9</v>
      </c>
      <c r="C31" s="63">
        <v>8.2796725506703181E-2</v>
      </c>
      <c r="D31" s="28">
        <v>1906064</v>
      </c>
      <c r="E31" s="20">
        <f>ROUND($E$9*$C31,0)</f>
        <v>79087</v>
      </c>
      <c r="F31" s="91">
        <f>SUM(D31:E31)</f>
        <v>1985151</v>
      </c>
      <c r="G31" s="17">
        <v>1829614</v>
      </c>
      <c r="H31" s="20">
        <f>ROUND($H$9*$C31,0)</f>
        <v>445823</v>
      </c>
      <c r="I31" s="84">
        <f>SUM(G31:H31)</f>
        <v>2275437</v>
      </c>
      <c r="J31" s="20">
        <v>964307</v>
      </c>
      <c r="K31" s="20">
        <f>ROUND($K$9*$C31,0)</f>
        <v>174451</v>
      </c>
      <c r="L31" s="84">
        <f>SUM(J31:K31)</f>
        <v>1138758</v>
      </c>
      <c r="M31" s="29">
        <v>724619</v>
      </c>
      <c r="N31" s="17">
        <f>ROUND($N$9*$C31,0)</f>
        <v>4674</v>
      </c>
      <c r="O31" s="84">
        <f>SUM(M31:N31)</f>
        <v>729293</v>
      </c>
      <c r="P31" s="84">
        <f>'2011 Admin Formula '!L31</f>
        <v>656036</v>
      </c>
      <c r="Q31" s="84">
        <f>'2011 Admin Formula '!M31</f>
        <v>27647</v>
      </c>
      <c r="R31" s="94">
        <f>+F31+I31+L31+O31+P31+Q31</f>
        <v>6812322</v>
      </c>
      <c r="S31" s="29">
        <v>6951142</v>
      </c>
      <c r="T31" s="28"/>
      <c r="U31" s="17">
        <f>R31-S31</f>
        <v>-138820</v>
      </c>
      <c r="V31" s="64">
        <f>SUM(U31/S31)</f>
        <v>-1.9970819183380228E-2</v>
      </c>
      <c r="W31" s="34">
        <f>+F31+I31+L31+O31</f>
        <v>6128639</v>
      </c>
      <c r="Y31" s="1"/>
    </row>
    <row r="32" spans="1:25" ht="15.75">
      <c r="A32" s="46"/>
      <c r="B32" s="49"/>
      <c r="C32" s="60"/>
      <c r="D32" s="61"/>
      <c r="E32" s="19"/>
      <c r="F32" s="100"/>
      <c r="G32" s="44"/>
      <c r="H32" s="44"/>
      <c r="I32" s="87"/>
      <c r="J32" s="45"/>
      <c r="K32" s="45"/>
      <c r="L32" s="83"/>
      <c r="M32" s="62"/>
      <c r="N32" s="62"/>
      <c r="O32" s="90"/>
      <c r="P32" s="83"/>
      <c r="Q32" s="83"/>
      <c r="R32" s="96"/>
      <c r="S32" s="45"/>
      <c r="T32" s="61"/>
      <c r="U32" s="44"/>
      <c r="V32" s="45"/>
      <c r="W32" s="34"/>
      <c r="Y32" s="1"/>
    </row>
    <row r="33" spans="1:26" ht="16.5" thickBot="1">
      <c r="A33" s="48"/>
      <c r="B33" s="25" t="s">
        <v>10</v>
      </c>
      <c r="C33" s="63">
        <v>0.1900825369119773</v>
      </c>
      <c r="D33" s="28">
        <v>4401312</v>
      </c>
      <c r="E33" s="20">
        <f>ROUND($E$9*$C33,0)</f>
        <v>181566</v>
      </c>
      <c r="F33" s="91">
        <f>SUM(D33:E33)</f>
        <v>4582878</v>
      </c>
      <c r="G33" s="17">
        <f>4224784</f>
        <v>4224784</v>
      </c>
      <c r="H33" s="20">
        <f>ROUND($H$9*$C33,0)-1</f>
        <v>1023508</v>
      </c>
      <c r="I33" s="84">
        <f>SUM(G33:H33)</f>
        <v>5248292</v>
      </c>
      <c r="J33" s="20">
        <f>2226692</f>
        <v>2226692</v>
      </c>
      <c r="K33" s="20">
        <f>ROUND($K$9*$C33,0)-1</f>
        <v>400499</v>
      </c>
      <c r="L33" s="84">
        <f>SUM(J33:K33)</f>
        <v>2627191</v>
      </c>
      <c r="M33" s="29">
        <f>1673226</f>
        <v>1673226</v>
      </c>
      <c r="N33" s="17">
        <f>ROUND($N$9*$C33,0)+1</f>
        <v>10732</v>
      </c>
      <c r="O33" s="84">
        <f>SUM(M33:N33)</f>
        <v>1683958</v>
      </c>
      <c r="P33" s="84">
        <f>'2011 Admin Formula '!L33</f>
        <v>1232619</v>
      </c>
      <c r="Q33" s="84">
        <f>'2011 Admin Formula '!M33</f>
        <v>51946</v>
      </c>
      <c r="R33" s="94">
        <f>+F33+I33+L33+O33+P33+Q33</f>
        <v>15426884</v>
      </c>
      <c r="S33" s="29">
        <v>15733927</v>
      </c>
      <c r="T33" s="28"/>
      <c r="U33" s="17">
        <f>R33-S33</f>
        <v>-307043</v>
      </c>
      <c r="V33" s="64">
        <f>SUM(U33/S33)</f>
        <v>-1.9514708565763653E-2</v>
      </c>
      <c r="W33" s="34">
        <f>+F33+I33+L33+O33</f>
        <v>14142319</v>
      </c>
      <c r="Y33" s="1"/>
    </row>
    <row r="34" spans="1:26" ht="15.75">
      <c r="A34" s="47"/>
      <c r="B34" s="50"/>
      <c r="C34" s="8"/>
      <c r="D34" s="34"/>
      <c r="E34" s="16"/>
      <c r="F34" s="85"/>
      <c r="G34" s="16"/>
      <c r="H34" s="16"/>
      <c r="I34" s="85"/>
      <c r="J34" s="19"/>
      <c r="K34" s="19"/>
      <c r="L34" s="86"/>
      <c r="M34" s="26"/>
      <c r="N34" s="26"/>
      <c r="O34" s="89"/>
      <c r="P34" s="86"/>
      <c r="Q34" s="86"/>
      <c r="R34" s="95"/>
      <c r="S34" s="19"/>
      <c r="T34" s="34"/>
      <c r="U34" s="16"/>
      <c r="V34" s="19"/>
      <c r="W34" s="34"/>
      <c r="Y34" s="1"/>
    </row>
    <row r="35" spans="1:26" ht="15.75">
      <c r="A35" s="47"/>
      <c r="B35" s="50" t="s">
        <v>72</v>
      </c>
      <c r="C35" s="51">
        <f t="shared" ref="C35:O35" si="0">SUM(C13:C33)</f>
        <v>0.99999999999999989</v>
      </c>
      <c r="D35" s="34">
        <f t="shared" si="0"/>
        <v>22515241</v>
      </c>
      <c r="E35" s="16">
        <f t="shared" si="0"/>
        <v>955198</v>
      </c>
      <c r="F35" s="85">
        <f t="shared" si="0"/>
        <v>23470439</v>
      </c>
      <c r="G35" s="16">
        <f t="shared" si="0"/>
        <v>21612187</v>
      </c>
      <c r="H35" s="16">
        <f t="shared" si="0"/>
        <v>5384549</v>
      </c>
      <c r="I35" s="85">
        <f t="shared" si="0"/>
        <v>26996736</v>
      </c>
      <c r="J35" s="19">
        <f t="shared" si="0"/>
        <v>11390813</v>
      </c>
      <c r="K35" s="16">
        <f t="shared" si="0"/>
        <v>2106979</v>
      </c>
      <c r="L35" s="86">
        <f t="shared" si="0"/>
        <v>13497792</v>
      </c>
      <c r="M35" s="26">
        <f t="shared" si="0"/>
        <v>8559516</v>
      </c>
      <c r="N35" s="19">
        <f t="shared" si="0"/>
        <v>56455</v>
      </c>
      <c r="O35" s="89">
        <f t="shared" si="0"/>
        <v>8615971</v>
      </c>
      <c r="P35" s="86">
        <f>SUM(P13:P33)</f>
        <v>8233865</v>
      </c>
      <c r="Q35" s="86">
        <f>SUM(Q13:Q33)</f>
        <v>346998</v>
      </c>
      <c r="R35" s="95">
        <f>SUM(R13:R33)</f>
        <v>81161801</v>
      </c>
      <c r="S35" s="19">
        <f>SUM(S13:S33)</f>
        <v>82833379</v>
      </c>
      <c r="T35" s="2"/>
      <c r="U35" s="16">
        <f>SUM(U13:U33)</f>
        <v>-1671578</v>
      </c>
      <c r="V35" s="36">
        <f>SUM(U35/S35)</f>
        <v>-2.0180004971184381E-2</v>
      </c>
      <c r="W35" s="35">
        <f>SUM(W13:W33)</f>
        <v>72574938</v>
      </c>
      <c r="X35" s="2"/>
      <c r="Y35" s="1"/>
      <c r="Z35" s="2"/>
    </row>
    <row r="36" spans="1:26" ht="16.5" thickBot="1">
      <c r="A36" s="48"/>
      <c r="B36" s="25"/>
      <c r="C36" s="9"/>
      <c r="D36" s="28"/>
      <c r="E36" s="17"/>
      <c r="F36" s="88"/>
      <c r="G36" s="17"/>
      <c r="H36" s="17"/>
      <c r="I36" s="88"/>
      <c r="J36" s="20"/>
      <c r="K36" s="20"/>
      <c r="L36" s="84"/>
      <c r="M36" s="29"/>
      <c r="N36" s="29"/>
      <c r="O36" s="91"/>
      <c r="P36" s="84"/>
      <c r="Q36" s="84"/>
      <c r="R36" s="97"/>
      <c r="S36" s="20"/>
      <c r="T36" s="28"/>
      <c r="U36" s="17"/>
      <c r="V36" s="20"/>
      <c r="W36" s="32"/>
      <c r="Y36" s="1"/>
    </row>
    <row r="37" spans="1:26">
      <c r="D37" s="2"/>
      <c r="E37" s="2"/>
      <c r="F37" s="2"/>
      <c r="Q37" s="2"/>
      <c r="R37" s="2">
        <f>R35-Q35</f>
        <v>80814803</v>
      </c>
      <c r="U37" s="32"/>
      <c r="V37" s="32"/>
      <c r="Y37" s="1"/>
    </row>
    <row r="38" spans="1:26">
      <c r="D38" s="2"/>
      <c r="E38" s="2"/>
      <c r="F38" s="2"/>
      <c r="Q38" s="2"/>
    </row>
    <row r="39" spans="1:26">
      <c r="D39" s="2"/>
      <c r="E39" s="2"/>
      <c r="F39" s="2"/>
    </row>
    <row r="40" spans="1:26">
      <c r="A40" s="41"/>
      <c r="D40" s="2"/>
      <c r="E40" s="2"/>
      <c r="F40" s="2"/>
      <c r="R40" s="4"/>
    </row>
    <row r="42" spans="1:26">
      <c r="D42" s="2"/>
      <c r="E42" s="2"/>
      <c r="F42" s="2"/>
      <c r="R42" s="37"/>
    </row>
    <row r="43" spans="1:26">
      <c r="R43" s="4"/>
    </row>
    <row r="46" spans="1:26">
      <c r="G46" t="s">
        <v>2</v>
      </c>
    </row>
    <row r="61" spans="3:16">
      <c r="C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3:16">
      <c r="C62" s="2"/>
    </row>
    <row r="63" spans="3:16">
      <c r="C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3:16">
      <c r="C64" s="2"/>
    </row>
    <row r="65" spans="3:16">
      <c r="C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3:16">
      <c r="C66" s="2"/>
    </row>
    <row r="67" spans="3:16">
      <c r="C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3:16">
      <c r="C68" s="2"/>
    </row>
    <row r="69" spans="3:16">
      <c r="C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3:16">
      <c r="C70" s="2"/>
    </row>
    <row r="71" spans="3:16">
      <c r="C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3:16">
      <c r="C72" s="2"/>
    </row>
    <row r="73" spans="3:16">
      <c r="C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3:16">
      <c r="C74" s="2"/>
    </row>
    <row r="75" spans="3:16">
      <c r="C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>
      <c r="C76" s="2"/>
    </row>
    <row r="77" spans="3:16">
      <c r="C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3:16">
      <c r="C78" s="2"/>
    </row>
    <row r="79" spans="3:16">
      <c r="C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3:16">
      <c r="C80" s="2"/>
    </row>
    <row r="81" spans="3:16">
      <c r="C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3:16">
      <c r="C82" s="2"/>
      <c r="G82" s="2"/>
      <c r="H82" s="2"/>
      <c r="I82" s="2"/>
    </row>
    <row r="83" spans="3:16">
      <c r="C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104" spans="4:9">
      <c r="G104" s="2"/>
      <c r="H104" s="2"/>
      <c r="I104" s="2"/>
    </row>
    <row r="106" spans="4:9">
      <c r="G106" s="2"/>
      <c r="H106" s="2"/>
      <c r="I106" s="2"/>
    </row>
    <row r="107" spans="4:9">
      <c r="G107" s="2"/>
      <c r="H107" s="2"/>
      <c r="I107" s="2"/>
    </row>
    <row r="108" spans="4:9">
      <c r="G108" s="2"/>
      <c r="H108" s="2"/>
      <c r="I108" s="2"/>
    </row>
    <row r="109" spans="4:9">
      <c r="D109" s="2"/>
      <c r="E109" s="2"/>
      <c r="F109" s="2"/>
      <c r="G109" s="2"/>
      <c r="H109" s="2"/>
      <c r="I109" s="2"/>
    </row>
    <row r="110" spans="4:9">
      <c r="D110" s="2"/>
      <c r="E110" s="2"/>
      <c r="F110" s="2"/>
      <c r="G110" s="2"/>
      <c r="H110" s="2"/>
      <c r="I110" s="2"/>
    </row>
    <row r="111" spans="4:9">
      <c r="D111" s="2"/>
      <c r="E111" s="2"/>
      <c r="F111" s="2"/>
      <c r="G111" s="2"/>
      <c r="H111" s="2"/>
      <c r="I111" s="2"/>
    </row>
    <row r="112" spans="4:9">
      <c r="D112" s="2"/>
      <c r="E112" s="2"/>
      <c r="F112" s="2"/>
      <c r="G112" s="2"/>
      <c r="H112" s="2"/>
      <c r="I112" s="2"/>
    </row>
    <row r="113" spans="3:25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R113" s="2"/>
      <c r="S113" s="2"/>
      <c r="W113" s="3"/>
      <c r="Y113" s="3"/>
    </row>
    <row r="114" spans="3:25">
      <c r="D114" s="2"/>
      <c r="E114" s="2"/>
      <c r="F114" s="2"/>
      <c r="G114" s="2"/>
      <c r="H114" s="2"/>
      <c r="I114" s="2"/>
      <c r="P114" s="2"/>
      <c r="W114" s="3"/>
    </row>
    <row r="115" spans="3:25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R115" s="2"/>
      <c r="S115" s="2"/>
      <c r="W115" s="3"/>
      <c r="Y115" s="3"/>
    </row>
    <row r="116" spans="3:25">
      <c r="D116" s="2"/>
      <c r="E116" s="2"/>
      <c r="F116" s="2"/>
      <c r="G116" s="2"/>
      <c r="H116" s="2"/>
      <c r="I116" s="2"/>
      <c r="P116" s="2"/>
      <c r="W116" s="3"/>
    </row>
    <row r="117" spans="3:25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R117" s="2"/>
      <c r="S117" s="2"/>
      <c r="W117" s="3"/>
      <c r="Y117" s="3"/>
    </row>
    <row r="118" spans="3:25">
      <c r="D118" s="2"/>
      <c r="E118" s="2"/>
      <c r="F118" s="2"/>
      <c r="G118" s="2"/>
      <c r="H118" s="2"/>
      <c r="I118" s="2"/>
      <c r="P118" s="2"/>
      <c r="W118" s="3"/>
    </row>
    <row r="119" spans="3:25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R119" s="2"/>
      <c r="S119" s="2"/>
      <c r="W119" s="3"/>
      <c r="Y119" s="3"/>
    </row>
    <row r="120" spans="3:25">
      <c r="D120" s="2"/>
      <c r="E120" s="2"/>
      <c r="F120" s="2"/>
      <c r="G120" s="2"/>
      <c r="H120" s="2"/>
      <c r="I120" s="2"/>
      <c r="P120" s="2"/>
    </row>
    <row r="121" spans="3:25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R121" s="2"/>
      <c r="S121" s="2"/>
      <c r="W121" s="3"/>
      <c r="Y121" s="3"/>
    </row>
    <row r="122" spans="3:25">
      <c r="D122" s="2"/>
      <c r="E122" s="2"/>
      <c r="F122" s="2"/>
      <c r="G122" s="2"/>
      <c r="H122" s="2"/>
      <c r="I122" s="2"/>
      <c r="P122" s="2"/>
      <c r="W122" s="3"/>
    </row>
    <row r="123" spans="3:25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R123" s="2"/>
      <c r="S123" s="2"/>
      <c r="W123" s="3"/>
      <c r="Y123" s="3"/>
    </row>
    <row r="124" spans="3:25">
      <c r="D124" s="2"/>
      <c r="E124" s="2"/>
      <c r="F124" s="2"/>
      <c r="G124" s="2"/>
      <c r="H124" s="2"/>
      <c r="I124" s="2"/>
      <c r="P124" s="2"/>
      <c r="W124" s="3"/>
    </row>
    <row r="125" spans="3:25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R125" s="2"/>
      <c r="S125" s="2"/>
      <c r="W125" s="3"/>
      <c r="Y125" s="3"/>
    </row>
    <row r="126" spans="3:25">
      <c r="D126" s="2"/>
      <c r="E126" s="2"/>
      <c r="F126" s="2"/>
      <c r="G126" s="2"/>
      <c r="H126" s="2"/>
      <c r="I126" s="2"/>
      <c r="P126" s="2"/>
      <c r="W126" s="3"/>
    </row>
    <row r="127" spans="3:25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R127" s="2"/>
      <c r="S127" s="2"/>
      <c r="W127" s="3"/>
      <c r="Y127" s="3"/>
    </row>
    <row r="128" spans="3:25">
      <c r="D128" s="2"/>
      <c r="E128" s="2"/>
      <c r="F128" s="2"/>
      <c r="G128" s="2"/>
      <c r="H128" s="2"/>
      <c r="I128" s="2"/>
      <c r="P128" s="2"/>
    </row>
    <row r="129" spans="3:25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R129" s="2"/>
      <c r="S129" s="2"/>
      <c r="W129" s="3"/>
      <c r="Y129" s="3"/>
    </row>
    <row r="130" spans="3:25">
      <c r="D130" s="2"/>
      <c r="E130" s="2"/>
      <c r="F130" s="2"/>
      <c r="G130" s="2"/>
      <c r="H130" s="2"/>
      <c r="I130" s="2"/>
      <c r="P130" s="2"/>
      <c r="W130" s="3"/>
    </row>
    <row r="131" spans="3:25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R131" s="2"/>
      <c r="S131" s="2"/>
      <c r="W131" s="3"/>
      <c r="Y131" s="3"/>
    </row>
    <row r="132" spans="3:25">
      <c r="D132" s="2"/>
      <c r="E132" s="2"/>
      <c r="F132" s="2"/>
      <c r="G132" s="2"/>
      <c r="H132" s="2"/>
      <c r="I132" s="2"/>
      <c r="P132" s="2"/>
      <c r="W132" s="3"/>
    </row>
    <row r="133" spans="3:25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R133" s="2"/>
      <c r="S133" s="2"/>
      <c r="W133" s="3"/>
      <c r="Y133" s="3"/>
    </row>
    <row r="134" spans="3:25">
      <c r="D134" s="2"/>
      <c r="E134" s="2"/>
      <c r="F134" s="2"/>
      <c r="G134" s="2"/>
      <c r="H134" s="2"/>
      <c r="I134" s="2"/>
      <c r="P134" s="2"/>
      <c r="W134" s="3"/>
    </row>
    <row r="135" spans="3:25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R135" s="2"/>
      <c r="S135" s="2"/>
      <c r="W135" s="3"/>
      <c r="Y135" s="3"/>
    </row>
    <row r="136" spans="3:25">
      <c r="P136" s="2"/>
    </row>
    <row r="140" spans="3:25">
      <c r="Y140" t="s">
        <v>22</v>
      </c>
    </row>
    <row r="142" spans="3:25">
      <c r="C142" s="2"/>
    </row>
    <row r="165" spans="3:9">
      <c r="C165" s="3"/>
      <c r="G165" s="2"/>
      <c r="H165" s="2"/>
      <c r="I165" s="2"/>
    </row>
    <row r="166" spans="3:9">
      <c r="C166" s="2"/>
      <c r="G166" s="2"/>
      <c r="H166" s="2"/>
      <c r="I166" s="2"/>
    </row>
    <row r="167" spans="3:9">
      <c r="C167" s="3"/>
      <c r="G167" s="2"/>
      <c r="H167" s="2"/>
      <c r="I167" s="2"/>
    </row>
    <row r="168" spans="3:9">
      <c r="C168" s="2"/>
      <c r="G168" s="2"/>
      <c r="H168" s="2"/>
      <c r="I168" s="2"/>
    </row>
    <row r="169" spans="3:9">
      <c r="C169" s="3"/>
      <c r="G169" s="2"/>
      <c r="H169" s="2"/>
      <c r="I169" s="2"/>
    </row>
    <row r="170" spans="3:9">
      <c r="C170" s="2"/>
      <c r="G170" s="2"/>
      <c r="H170" s="2"/>
      <c r="I170" s="2"/>
    </row>
    <row r="171" spans="3:9">
      <c r="C171" s="3"/>
      <c r="G171" s="2"/>
      <c r="H171" s="2"/>
      <c r="I171" s="2"/>
    </row>
    <row r="172" spans="3:9">
      <c r="C172" s="2"/>
      <c r="G172" s="2"/>
      <c r="H172" s="2"/>
      <c r="I172" s="2"/>
    </row>
    <row r="173" spans="3:9">
      <c r="C173" s="3"/>
      <c r="G173" s="2"/>
      <c r="H173" s="2"/>
      <c r="I173" s="2"/>
    </row>
    <row r="174" spans="3:9">
      <c r="C174" s="2"/>
      <c r="G174" s="2"/>
      <c r="H174" s="2"/>
      <c r="I174" s="2"/>
    </row>
    <row r="175" spans="3:9">
      <c r="C175" s="3"/>
      <c r="G175" s="2"/>
      <c r="H175" s="2"/>
      <c r="I175" s="2"/>
    </row>
    <row r="176" spans="3:9">
      <c r="C176" s="2"/>
      <c r="G176" s="2"/>
      <c r="H176" s="2"/>
      <c r="I176" s="2"/>
    </row>
    <row r="177" spans="3:9">
      <c r="C177" s="3"/>
      <c r="G177" s="2"/>
      <c r="H177" s="2"/>
      <c r="I177" s="2"/>
    </row>
    <row r="178" spans="3:9">
      <c r="C178" s="2"/>
      <c r="G178" s="2"/>
      <c r="H178" s="2"/>
      <c r="I178" s="2"/>
    </row>
    <row r="179" spans="3:9">
      <c r="C179" s="3"/>
      <c r="G179" s="2"/>
      <c r="H179" s="2"/>
      <c r="I179" s="2"/>
    </row>
    <row r="180" spans="3:9">
      <c r="C180" s="2"/>
      <c r="G180" s="2"/>
      <c r="H180" s="2"/>
      <c r="I180" s="2"/>
    </row>
    <row r="181" spans="3:9">
      <c r="C181" s="3"/>
      <c r="G181" s="2"/>
      <c r="H181" s="2"/>
      <c r="I181" s="2"/>
    </row>
    <row r="182" spans="3:9">
      <c r="C182" s="2"/>
      <c r="G182" s="2"/>
      <c r="H182" s="2"/>
      <c r="I182" s="2"/>
    </row>
    <row r="183" spans="3:9">
      <c r="C183" s="3"/>
      <c r="G183" s="2"/>
      <c r="H183" s="2"/>
      <c r="I183" s="2"/>
    </row>
    <row r="184" spans="3:9">
      <c r="C184" s="2"/>
      <c r="G184" s="2"/>
      <c r="H184" s="2"/>
      <c r="I184" s="2"/>
    </row>
    <row r="185" spans="3:9">
      <c r="C185" s="3"/>
      <c r="G185" s="2"/>
      <c r="H185" s="2"/>
      <c r="I185" s="2"/>
    </row>
    <row r="186" spans="3:9">
      <c r="C186" s="2"/>
      <c r="G186" s="2"/>
      <c r="H186" s="2"/>
      <c r="I186" s="2"/>
    </row>
    <row r="187" spans="3:9">
      <c r="C187" s="3"/>
      <c r="G187" s="2"/>
      <c r="H187" s="2"/>
      <c r="I187" s="2"/>
    </row>
  </sheetData>
  <phoneticPr fontId="6" type="noConversion"/>
  <pageMargins left="0.5" right="0" top="0.5" bottom="0.5" header="0.5" footer="0.5"/>
  <pageSetup paperSize="5" scale="6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R40"/>
  <sheetViews>
    <sheetView topLeftCell="A9" workbookViewId="0">
      <selection activeCell="L33" sqref="L33"/>
    </sheetView>
  </sheetViews>
  <sheetFormatPr defaultColWidth="7.109375" defaultRowHeight="15"/>
  <cols>
    <col min="1" max="1" width="0.6640625" customWidth="1"/>
    <col min="2" max="2" width="7.109375" customWidth="1"/>
    <col min="3" max="3" width="10.88671875" customWidth="1"/>
    <col min="4" max="4" width="9.88671875" customWidth="1"/>
    <col min="5" max="5" width="9.44140625" customWidth="1"/>
    <col min="6" max="6" width="7.109375" customWidth="1"/>
    <col min="7" max="7" width="9.44140625" customWidth="1"/>
    <col min="8" max="8" width="11.88671875" customWidth="1"/>
    <col min="9" max="10" width="9.44140625" customWidth="1"/>
    <col min="11" max="12" width="10.88671875" customWidth="1"/>
    <col min="13" max="13" width="11.33203125" customWidth="1"/>
    <col min="14" max="16" width="10.88671875" customWidth="1"/>
    <col min="17" max="17" width="8.33203125" customWidth="1"/>
  </cols>
  <sheetData>
    <row r="1" spans="1:18">
      <c r="B1" t="s">
        <v>0</v>
      </c>
    </row>
    <row r="4" spans="1:18" ht="15.75">
      <c r="G4" s="6"/>
      <c r="H4" s="6" t="s">
        <v>301</v>
      </c>
      <c r="N4" s="6"/>
    </row>
    <row r="5" spans="1:18" ht="15.75">
      <c r="G5" s="6"/>
      <c r="H5" s="6" t="s">
        <v>34</v>
      </c>
      <c r="N5" s="6"/>
    </row>
    <row r="6" spans="1:18" ht="15.75">
      <c r="F6" s="6"/>
      <c r="H6" s="6" t="s">
        <v>302</v>
      </c>
      <c r="P6" s="40"/>
    </row>
    <row r="7" spans="1:18" ht="15.75">
      <c r="H7" s="6"/>
      <c r="I7" s="434" t="s">
        <v>300</v>
      </c>
    </row>
    <row r="8" spans="1:18" ht="15.75" thickBot="1"/>
    <row r="9" spans="1:18">
      <c r="A9" s="68"/>
      <c r="B9" s="69"/>
      <c r="C9" s="70" t="s">
        <v>36</v>
      </c>
      <c r="D9" s="70" t="s">
        <v>131</v>
      </c>
      <c r="E9" s="70"/>
      <c r="F9" s="70" t="s">
        <v>56</v>
      </c>
      <c r="G9" s="70"/>
      <c r="H9" s="70" t="s">
        <v>39</v>
      </c>
      <c r="I9" s="70"/>
      <c r="J9" s="70"/>
      <c r="K9" s="70" t="s">
        <v>30</v>
      </c>
      <c r="L9" s="70" t="s">
        <v>72</v>
      </c>
      <c r="M9" s="70" t="s">
        <v>49</v>
      </c>
      <c r="N9" s="70" t="s">
        <v>297</v>
      </c>
      <c r="O9" s="70" t="s">
        <v>219</v>
      </c>
      <c r="P9" s="71"/>
      <c r="Q9" s="72" t="s">
        <v>5</v>
      </c>
      <c r="R9" s="32"/>
    </row>
    <row r="10" spans="1:18">
      <c r="A10" s="21"/>
      <c r="B10" s="73" t="s">
        <v>64</v>
      </c>
      <c r="C10" s="74" t="s">
        <v>29</v>
      </c>
      <c r="D10" s="74" t="s">
        <v>18</v>
      </c>
      <c r="E10" s="75" t="s">
        <v>16</v>
      </c>
      <c r="F10" s="74" t="s">
        <v>42</v>
      </c>
      <c r="G10" s="75" t="s">
        <v>12</v>
      </c>
      <c r="H10" s="74" t="s">
        <v>295</v>
      </c>
      <c r="I10" s="75" t="s">
        <v>12</v>
      </c>
      <c r="J10" s="74" t="s">
        <v>72</v>
      </c>
      <c r="K10" s="74" t="s">
        <v>28</v>
      </c>
      <c r="L10" s="74" t="s">
        <v>298</v>
      </c>
      <c r="M10" s="74" t="s">
        <v>37</v>
      </c>
      <c r="N10" s="74" t="s">
        <v>25</v>
      </c>
      <c r="O10" s="74" t="s">
        <v>25</v>
      </c>
      <c r="P10" s="33"/>
      <c r="Q10" s="76" t="s">
        <v>52</v>
      </c>
      <c r="R10" s="32"/>
    </row>
    <row r="11" spans="1:18" ht="15.75" thickBot="1">
      <c r="A11" s="23"/>
      <c r="B11" s="77"/>
      <c r="C11" s="78" t="s">
        <v>63</v>
      </c>
      <c r="D11" s="78" t="s">
        <v>58</v>
      </c>
      <c r="E11" s="78" t="s">
        <v>45</v>
      </c>
      <c r="F11" s="78" t="s">
        <v>51</v>
      </c>
      <c r="G11" s="78" t="s">
        <v>45</v>
      </c>
      <c r="H11" s="78" t="s">
        <v>32</v>
      </c>
      <c r="I11" s="78" t="s">
        <v>45</v>
      </c>
      <c r="J11" s="78" t="s">
        <v>26</v>
      </c>
      <c r="K11" s="78" t="s">
        <v>62</v>
      </c>
      <c r="L11" s="78" t="s">
        <v>61</v>
      </c>
      <c r="M11" s="78" t="s">
        <v>299</v>
      </c>
      <c r="N11" s="78" t="s">
        <v>47</v>
      </c>
      <c r="O11" s="78" t="s">
        <v>47</v>
      </c>
      <c r="P11" s="79" t="s">
        <v>44</v>
      </c>
      <c r="Q11" s="80" t="s">
        <v>74</v>
      </c>
      <c r="R11" s="32"/>
    </row>
    <row r="12" spans="1:18">
      <c r="A12" s="21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47"/>
      <c r="M12" s="8"/>
      <c r="N12" s="50"/>
      <c r="O12" s="32"/>
      <c r="P12" s="8"/>
      <c r="Q12" s="50"/>
    </row>
    <row r="13" spans="1:18">
      <c r="A13" s="21"/>
      <c r="B13" t="s">
        <v>8</v>
      </c>
      <c r="C13" s="12">
        <v>230000</v>
      </c>
      <c r="D13" s="11">
        <v>149231</v>
      </c>
      <c r="E13" s="7">
        <f>SUM(D13/$D$35*0.5)</f>
        <v>1.6592789239965728E-2</v>
      </c>
      <c r="F13" s="14">
        <v>4</v>
      </c>
      <c r="G13" s="7">
        <f>SUM(F13/$F$35*0.25)</f>
        <v>1.4925373134328358E-2</v>
      </c>
      <c r="H13" s="12">
        <v>1206780</v>
      </c>
      <c r="I13" s="7">
        <f>SUM(H13/$H$35*0.25)</f>
        <v>7.5681308629528014E-3</v>
      </c>
      <c r="J13" s="14">
        <f>E13+G13+I13</f>
        <v>3.9086293237246883E-2</v>
      </c>
      <c r="K13" s="12">
        <f>ROUND(J13*$K$37,0)</f>
        <v>130957</v>
      </c>
      <c r="L13" s="15">
        <f>C13+K13</f>
        <v>360957</v>
      </c>
      <c r="M13" s="18">
        <f>ROUND(346998*L13/$L$35,0)</f>
        <v>15212</v>
      </c>
      <c r="N13" s="13">
        <f>SUM(L13:M13)</f>
        <v>376169</v>
      </c>
      <c r="O13" s="13"/>
      <c r="P13" s="18">
        <f>N13-O13</f>
        <v>376169</v>
      </c>
      <c r="Q13" s="38" t="e">
        <f>SUM(P13/O13)</f>
        <v>#DIV/0!</v>
      </c>
    </row>
    <row r="14" spans="1:18">
      <c r="A14" s="21"/>
      <c r="C14" s="2"/>
      <c r="D14" s="1"/>
      <c r="E14" s="22"/>
      <c r="L14" s="16"/>
      <c r="M14" s="19"/>
      <c r="N14" s="26"/>
      <c r="O14" s="26"/>
      <c r="P14" s="8"/>
      <c r="Q14" s="39"/>
    </row>
    <row r="15" spans="1:18">
      <c r="A15" s="21"/>
      <c r="B15" t="s">
        <v>11</v>
      </c>
      <c r="C15" s="12">
        <v>230000</v>
      </c>
      <c r="D15" s="11">
        <v>140785</v>
      </c>
      <c r="E15" s="7">
        <f>SUM(D15/$D$35*0.5)</f>
        <v>1.5653690139103636E-2</v>
      </c>
      <c r="F15" s="14">
        <v>14</v>
      </c>
      <c r="G15" s="7">
        <f>SUM(F15/$F$35*0.25)</f>
        <v>5.2238805970149252E-2</v>
      </c>
      <c r="H15" s="12">
        <v>1475376</v>
      </c>
      <c r="I15" s="7">
        <f>SUM(H15/$H$35*0.25)</f>
        <v>9.2525884088730768E-3</v>
      </c>
      <c r="J15" s="14">
        <f>E15+G15+I15</f>
        <v>7.7145084518125961E-2</v>
      </c>
      <c r="K15" s="12">
        <f>ROUND(J15*$K$37,0)</f>
        <v>258471</v>
      </c>
      <c r="L15" s="15">
        <f>C15+K15</f>
        <v>488471</v>
      </c>
      <c r="M15" s="18">
        <f>ROUND(346998*L15/$L$35,0)</f>
        <v>20586</v>
      </c>
      <c r="N15" s="13">
        <f>SUM(L15:M15)</f>
        <v>509057</v>
      </c>
      <c r="O15" s="13"/>
      <c r="P15" s="18">
        <f>N15-O15</f>
        <v>509057</v>
      </c>
      <c r="Q15" s="38" t="e">
        <f>SUM(P15/O15)</f>
        <v>#DIV/0!</v>
      </c>
    </row>
    <row r="16" spans="1:18">
      <c r="A16" s="21"/>
      <c r="C16" s="2"/>
      <c r="D16" s="1"/>
      <c r="E16" s="22"/>
      <c r="H16" s="2"/>
      <c r="L16" s="16"/>
      <c r="M16" s="19"/>
      <c r="N16" s="26"/>
      <c r="O16" s="26"/>
      <c r="P16" s="8"/>
      <c r="Q16" s="39"/>
    </row>
    <row r="17" spans="1:17">
      <c r="A17" s="21"/>
      <c r="B17" t="s">
        <v>13</v>
      </c>
      <c r="C17" s="12">
        <f>ROUND('[1]2008 Svcs and Adm Alloca  updat'!Z17*0.07,0)</f>
        <v>466841</v>
      </c>
      <c r="D17" s="11">
        <v>487923</v>
      </c>
      <c r="E17" s="7">
        <f>SUM(D17/$D$35*0.5)</f>
        <v>5.4251485980337848E-2</v>
      </c>
      <c r="F17" s="14">
        <v>16</v>
      </c>
      <c r="G17" s="7">
        <f>SUM(F17/$F$35*0.25)</f>
        <v>5.9701492537313432E-2</v>
      </c>
      <c r="H17" s="12">
        <v>3542507</v>
      </c>
      <c r="I17" s="7">
        <f>SUM(H17/$H$35*0.25)</f>
        <v>2.2216275177684697E-2</v>
      </c>
      <c r="J17" s="14">
        <f>E17+G17+I17</f>
        <v>0.13616925369533597</v>
      </c>
      <c r="K17" s="12">
        <f>ROUND(J17*$K$37,0)</f>
        <v>456230</v>
      </c>
      <c r="L17" s="15">
        <f>C17+K17</f>
        <v>923071</v>
      </c>
      <c r="M17" s="18">
        <f>ROUND(346998*L17/$L$35,0)</f>
        <v>38901</v>
      </c>
      <c r="N17" s="13">
        <f>SUM(L17:M17)</f>
        <v>961972</v>
      </c>
      <c r="O17" s="13"/>
      <c r="P17" s="18">
        <f>N17-O17</f>
        <v>961972</v>
      </c>
      <c r="Q17" s="38" t="e">
        <f>SUM(P17/O17)</f>
        <v>#DIV/0!</v>
      </c>
    </row>
    <row r="18" spans="1:17">
      <c r="A18" s="21"/>
      <c r="C18" s="2"/>
      <c r="D18" s="1"/>
      <c r="E18" s="22"/>
      <c r="H18" s="2"/>
      <c r="L18" s="16"/>
      <c r="M18" s="19"/>
      <c r="N18" s="26"/>
      <c r="O18" s="26"/>
      <c r="P18" s="8"/>
      <c r="Q18" s="39"/>
    </row>
    <row r="19" spans="1:17">
      <c r="A19" s="21"/>
      <c r="B19" t="s">
        <v>14</v>
      </c>
      <c r="C19" s="12">
        <f>ROUND('[1]2008 Svcs and Adm Alloca  updat'!Z19*0.07,0)</f>
        <v>415478</v>
      </c>
      <c r="D19" s="11">
        <v>437390</v>
      </c>
      <c r="E19" s="7">
        <f>SUM(D19/$D$35*0.5)</f>
        <v>4.8632791348102E-2</v>
      </c>
      <c r="F19" s="14">
        <v>7</v>
      </c>
      <c r="G19" s="7">
        <f>SUM(F19/$F$35*0.25)</f>
        <v>2.6119402985074626E-2</v>
      </c>
      <c r="H19" s="12">
        <v>3824622</v>
      </c>
      <c r="I19" s="7">
        <f>SUM(H19/$H$35*0.25)</f>
        <v>2.3985515004663872E-2</v>
      </c>
      <c r="J19" s="14">
        <f>E19+G19+I19</f>
        <v>9.8737709337840485E-2</v>
      </c>
      <c r="K19" s="12">
        <f>ROUND(J19*$K$37,0)</f>
        <v>330817</v>
      </c>
      <c r="L19" s="15">
        <f>C19+K19</f>
        <v>746295</v>
      </c>
      <c r="M19" s="18">
        <f>ROUND(346998*L19/$L$35,0)</f>
        <v>31451</v>
      </c>
      <c r="N19" s="13">
        <f>SUM(L19:M19)</f>
        <v>777746</v>
      </c>
      <c r="O19" s="13"/>
      <c r="P19" s="18">
        <f>N19-O19</f>
        <v>777746</v>
      </c>
      <c r="Q19" s="38" t="e">
        <f>SUM(P19/O19)</f>
        <v>#DIV/0!</v>
      </c>
    </row>
    <row r="20" spans="1:17">
      <c r="A20" s="21"/>
      <c r="C20" s="2"/>
      <c r="D20" s="1"/>
      <c r="E20" s="22"/>
      <c r="H20" s="2"/>
      <c r="L20" s="16"/>
      <c r="M20" s="19"/>
      <c r="N20" s="26"/>
      <c r="O20" s="26"/>
      <c r="P20" s="8"/>
      <c r="Q20" s="39"/>
    </row>
    <row r="21" spans="1:17">
      <c r="A21" s="21"/>
      <c r="B21" t="s">
        <v>15</v>
      </c>
      <c r="C21" s="12">
        <f>ROUND('[1]2008 Svcs and Adm Alloca  updat'!Z21*0.07,0)</f>
        <v>383594</v>
      </c>
      <c r="D21" s="11">
        <v>401806</v>
      </c>
      <c r="E21" s="7">
        <f>SUM(D21/$D$35*0.5)</f>
        <v>4.4676255425170834E-2</v>
      </c>
      <c r="F21" s="14">
        <v>2</v>
      </c>
      <c r="G21" s="7">
        <f>SUM(F21/$F$35*0.25)</f>
        <v>7.462686567164179E-3</v>
      </c>
      <c r="H21" s="12">
        <v>5660993</v>
      </c>
      <c r="I21" s="7">
        <f>SUM(H21/$H$35*0.25)</f>
        <v>3.5502026747426842E-2</v>
      </c>
      <c r="J21" s="14">
        <f>E21+G21+I21</f>
        <v>8.7640968739761849E-2</v>
      </c>
      <c r="K21" s="12">
        <f>ROUND(J21*$K$37,0)</f>
        <v>293637</v>
      </c>
      <c r="L21" s="15">
        <f>C21+K21</f>
        <v>677231</v>
      </c>
      <c r="M21" s="18">
        <f>ROUND(346998*L21/$L$35,0)</f>
        <v>28540</v>
      </c>
      <c r="N21" s="13">
        <f>SUM(L21:M21)</f>
        <v>705771</v>
      </c>
      <c r="O21" s="13"/>
      <c r="P21" s="18">
        <f>N21-O21</f>
        <v>705771</v>
      </c>
      <c r="Q21" s="38" t="e">
        <f>SUM(P21/O21)</f>
        <v>#DIV/0!</v>
      </c>
    </row>
    <row r="22" spans="1:17">
      <c r="A22" s="21"/>
      <c r="C22" s="2"/>
      <c r="D22" s="1"/>
      <c r="E22" s="22"/>
      <c r="H22" s="2"/>
      <c r="L22" s="16"/>
      <c r="M22" s="19"/>
      <c r="N22" s="26"/>
      <c r="O22" s="26"/>
      <c r="P22" s="8"/>
      <c r="Q22" s="39"/>
    </row>
    <row r="23" spans="1:17">
      <c r="A23" s="21"/>
      <c r="B23" t="s">
        <v>17</v>
      </c>
      <c r="C23" s="12">
        <f>ROUND('[1]2008 Svcs and Adm Alloca  updat'!Z23*0.07,0)</f>
        <v>533633</v>
      </c>
      <c r="D23" s="11">
        <v>499133</v>
      </c>
      <c r="E23" s="7">
        <f>SUM(D23/$D$35*0.5)</f>
        <v>5.549791043222798E-2</v>
      </c>
      <c r="F23" s="14">
        <v>5</v>
      </c>
      <c r="G23" s="7">
        <f>SUM(F23/$F$35*0.25)</f>
        <v>1.8656716417910446E-2</v>
      </c>
      <c r="H23" s="12">
        <v>4115624</v>
      </c>
      <c r="I23" s="7">
        <f>SUM(H23/$H$35*0.25)</f>
        <v>2.5810488253624735E-2</v>
      </c>
      <c r="J23" s="14">
        <f>E23+G23+I23</f>
        <v>9.9965115103763172E-2</v>
      </c>
      <c r="K23" s="12">
        <f>ROUND(J23*$K$37,0)</f>
        <v>334929</v>
      </c>
      <c r="L23" s="15">
        <f>C23+K23</f>
        <v>868562</v>
      </c>
      <c r="M23" s="18">
        <f>ROUND(346998*L23/$L$35,0)</f>
        <v>36604</v>
      </c>
      <c r="N23" s="13">
        <f>SUM(L23:M23)</f>
        <v>905166</v>
      </c>
      <c r="O23" s="13"/>
      <c r="P23" s="18">
        <f>N23-O23</f>
        <v>905166</v>
      </c>
      <c r="Q23" s="38" t="e">
        <f>SUM(P23/O23)</f>
        <v>#DIV/0!</v>
      </c>
    </row>
    <row r="24" spans="1:17">
      <c r="A24" s="21"/>
      <c r="C24" s="2"/>
      <c r="D24" s="1"/>
      <c r="E24" s="22"/>
      <c r="H24" s="2"/>
      <c r="L24" s="16"/>
      <c r="M24" s="19"/>
      <c r="N24" s="26"/>
      <c r="O24" s="26"/>
      <c r="P24" s="8"/>
      <c r="Q24" s="39"/>
    </row>
    <row r="25" spans="1:17">
      <c r="A25" s="21"/>
      <c r="B25" t="s">
        <v>21</v>
      </c>
      <c r="C25" s="12">
        <f>ROUND('[1]2008 Svcs and Adm Alloca  updat'!Z25*0.07,0)</f>
        <v>397485</v>
      </c>
      <c r="D25" s="11">
        <v>433742</v>
      </c>
      <c r="E25" s="7">
        <f>SUM(D25/$D$35*0.5)</f>
        <v>4.8227175255283514E-2</v>
      </c>
      <c r="F25" s="14">
        <v>4</v>
      </c>
      <c r="G25" s="7">
        <f>SUM(F25/$F$35*0.25)</f>
        <v>1.4925373134328358E-2</v>
      </c>
      <c r="H25" s="12">
        <v>3028108</v>
      </c>
      <c r="I25" s="7">
        <f>SUM(H25/$H$35*0.25)</f>
        <v>1.89903027984838E-2</v>
      </c>
      <c r="J25" s="14">
        <f>E25+G25+I25</f>
        <v>8.2142851188095667E-2</v>
      </c>
      <c r="K25" s="12">
        <f>ROUND(J25*$K$37,0)</f>
        <v>275216</v>
      </c>
      <c r="L25" s="15">
        <f>C25+K25</f>
        <v>672701</v>
      </c>
      <c r="M25" s="18">
        <f>ROUND(346998*L25/$L$35,0)</f>
        <v>28349</v>
      </c>
      <c r="N25" s="13">
        <f>SUM(L25:M25)</f>
        <v>701050</v>
      </c>
      <c r="O25" s="13"/>
      <c r="P25" s="18">
        <f>N25-O25</f>
        <v>701050</v>
      </c>
      <c r="Q25" s="38" t="e">
        <f>SUM(P25/O25)</f>
        <v>#DIV/0!</v>
      </c>
    </row>
    <row r="26" spans="1:17">
      <c r="A26" s="21"/>
      <c r="C26" s="2"/>
      <c r="D26" s="1"/>
      <c r="E26" s="22"/>
      <c r="H26" s="2"/>
      <c r="L26" s="16"/>
      <c r="M26" s="19"/>
      <c r="N26" s="26"/>
      <c r="O26" s="26"/>
      <c r="P26" s="8"/>
      <c r="Q26" s="39"/>
    </row>
    <row r="27" spans="1:17">
      <c r="A27" s="21"/>
      <c r="B27" t="s">
        <v>23</v>
      </c>
      <c r="C27" s="12">
        <f>ROUND('[1]2008 Svcs and Adm Alloca  updat'!Z27*0.07,0)</f>
        <v>408079</v>
      </c>
      <c r="D27" s="11">
        <v>552009</v>
      </c>
      <c r="E27" s="7">
        <f>SUM(D27/$D$35*0.5)</f>
        <v>6.137712000565728E-2</v>
      </c>
      <c r="F27" s="14">
        <v>7</v>
      </c>
      <c r="G27" s="7">
        <f>SUM(F27/$F$35*0.25)</f>
        <v>2.6119402985074626E-2</v>
      </c>
      <c r="H27" s="12">
        <v>3728399</v>
      </c>
      <c r="I27" s="7">
        <f>SUM(H27/$H$35*0.25)</f>
        <v>2.3382067602464709E-2</v>
      </c>
      <c r="J27" s="14">
        <f>E27+G27+I27</f>
        <v>0.11087859059319662</v>
      </c>
      <c r="K27" s="12">
        <f>ROUND(J27*$K$37,0)</f>
        <v>371494</v>
      </c>
      <c r="L27" s="15">
        <f>C27+K27</f>
        <v>779573</v>
      </c>
      <c r="M27" s="18">
        <f>ROUND(346998*L27/$L$35,0)</f>
        <v>32853</v>
      </c>
      <c r="N27" s="13">
        <f>SUM(L27:M27)</f>
        <v>812426</v>
      </c>
      <c r="O27" s="13"/>
      <c r="P27" s="18">
        <f>N27-O27</f>
        <v>812426</v>
      </c>
      <c r="Q27" s="38" t="e">
        <f>SUM(P27/O27)</f>
        <v>#DIV/0!</v>
      </c>
    </row>
    <row r="28" spans="1:17">
      <c r="A28" s="21"/>
      <c r="C28" s="2"/>
      <c r="D28" s="1"/>
      <c r="E28" s="22"/>
      <c r="H28" s="2"/>
      <c r="L28" s="16"/>
      <c r="M28" s="19"/>
      <c r="N28" s="26"/>
      <c r="O28" s="26"/>
      <c r="P28" s="8"/>
      <c r="Q28" s="39"/>
    </row>
    <row r="29" spans="1:17">
      <c r="A29" s="21"/>
      <c r="B29" t="s">
        <v>24</v>
      </c>
      <c r="C29" s="12">
        <f>ROUND('[1]2008 Svcs and Adm Alloca  updat'!Z29*0.07,0)</f>
        <v>487403</v>
      </c>
      <c r="D29" s="11">
        <v>553604</v>
      </c>
      <c r="E29" s="7">
        <f>SUM(D29/$D$35*0.5)</f>
        <v>6.1554465857643431E-2</v>
      </c>
      <c r="F29" s="14">
        <v>5</v>
      </c>
      <c r="G29" s="7">
        <f>SUM(F29/$F$35*0.25)</f>
        <v>1.8656716417910446E-2</v>
      </c>
      <c r="H29" s="12">
        <v>3436226</v>
      </c>
      <c r="I29" s="7">
        <f>SUM(H29/$H$35*0.25)</f>
        <v>2.1549750611280311E-2</v>
      </c>
      <c r="J29" s="14">
        <f>E29+G29+I29</f>
        <v>0.10176093288683419</v>
      </c>
      <c r="K29" s="12">
        <f>ROUND(J29*$K$37,0)</f>
        <v>340946</v>
      </c>
      <c r="L29" s="15">
        <f>C29+K29</f>
        <v>828349</v>
      </c>
      <c r="M29" s="18">
        <f>ROUND(346998*L29/$L$35,0)</f>
        <v>34909</v>
      </c>
      <c r="N29" s="13">
        <f>SUM(L29:M29)</f>
        <v>863258</v>
      </c>
      <c r="O29" s="13"/>
      <c r="P29" s="18">
        <f>N29-O29</f>
        <v>863258</v>
      </c>
      <c r="Q29" s="38" t="e">
        <f>SUM(P29/O29)</f>
        <v>#DIV/0!</v>
      </c>
    </row>
    <row r="30" spans="1:17">
      <c r="A30" s="21"/>
      <c r="C30" s="2"/>
      <c r="D30" s="1"/>
      <c r="E30" s="22"/>
      <c r="H30" s="2"/>
      <c r="L30" s="16"/>
      <c r="M30" s="19"/>
      <c r="N30" s="26"/>
      <c r="O30" s="26"/>
      <c r="P30" s="8"/>
      <c r="Q30" s="39"/>
    </row>
    <row r="31" spans="1:17">
      <c r="A31" s="21"/>
      <c r="B31" t="s">
        <v>9</v>
      </c>
      <c r="C31" s="12">
        <f>ROUND('[1]2008 Svcs and Adm Alloca  updat'!Z31*0.07,0)</f>
        <v>402307</v>
      </c>
      <c r="D31" s="11">
        <v>345071</v>
      </c>
      <c r="E31" s="7">
        <f>SUM(D31/$D$35*0.5)</f>
        <v>3.8367968959694791E-2</v>
      </c>
      <c r="F31" s="14">
        <v>1</v>
      </c>
      <c r="G31" s="7">
        <f>SUM(F31/$F$35*0.25)</f>
        <v>3.7313432835820895E-3</v>
      </c>
      <c r="H31" s="12">
        <v>5362523</v>
      </c>
      <c r="I31" s="7">
        <f>SUM(H31/$H$35*0.25)</f>
        <v>3.3630219111680876E-2</v>
      </c>
      <c r="J31" s="14">
        <f>E31+G31+I31</f>
        <v>7.5729531354957746E-2</v>
      </c>
      <c r="K31" s="12">
        <f>ROUND(J31*$K$37,0)</f>
        <v>253729</v>
      </c>
      <c r="L31" s="15">
        <f>C31+K31</f>
        <v>656036</v>
      </c>
      <c r="M31" s="18">
        <f>ROUND(346998*L31/$L$35,0)</f>
        <v>27647</v>
      </c>
      <c r="N31" s="13">
        <f>SUM(L31:M31)</f>
        <v>683683</v>
      </c>
      <c r="O31" s="13"/>
      <c r="P31" s="18">
        <f>N31-O31</f>
        <v>683683</v>
      </c>
      <c r="Q31" s="38" t="e">
        <f>SUM(P31/O31)</f>
        <v>#DIV/0!</v>
      </c>
    </row>
    <row r="32" spans="1:17">
      <c r="A32" s="21"/>
      <c r="C32" s="2"/>
      <c r="D32" s="1"/>
      <c r="E32" s="22"/>
      <c r="H32" s="2"/>
      <c r="L32" s="16"/>
      <c r="M32" s="19"/>
      <c r="N32" s="26"/>
      <c r="O32" s="26"/>
      <c r="P32" s="8"/>
      <c r="Q32" s="39"/>
    </row>
    <row r="33" spans="1:17">
      <c r="A33" s="21"/>
      <c r="B33" s="14" t="s">
        <v>10</v>
      </c>
      <c r="C33" s="12">
        <f>ROUND('[1]2008 Svcs and Adm Alloca  updat'!Z33*0.07,0)</f>
        <v>928586</v>
      </c>
      <c r="D33" s="11">
        <v>496169</v>
      </c>
      <c r="E33" s="7">
        <f>SUM(D33/$D$35*0.5)</f>
        <v>5.5168347356812961E-2</v>
      </c>
      <c r="F33" s="14">
        <v>2</v>
      </c>
      <c r="G33" s="7">
        <f>SUM(F33/$F$35*0.25)</f>
        <v>7.462686567164179E-3</v>
      </c>
      <c r="H33" s="12">
        <v>4482714</v>
      </c>
      <c r="I33" s="7">
        <f>SUM(H33/$H$35*0.25)</f>
        <v>2.8112635420864285E-2</v>
      </c>
      <c r="J33" s="14">
        <f>E33+G33+I33</f>
        <v>9.0743669344841418E-2</v>
      </c>
      <c r="K33" s="12">
        <f>ROUND(J33*$K$37,0)</f>
        <v>304033</v>
      </c>
      <c r="L33" s="15">
        <f>C33+K33</f>
        <v>1232619</v>
      </c>
      <c r="M33" s="18">
        <f>ROUND(346998*L33/$L$35,0)</f>
        <v>51946</v>
      </c>
      <c r="N33" s="13">
        <f>SUM(L33:M33)</f>
        <v>1284565</v>
      </c>
      <c r="O33" s="13"/>
      <c r="P33" s="18">
        <f>N33-O33</f>
        <v>1284565</v>
      </c>
      <c r="Q33" s="38" t="e">
        <f>SUM(P33/O33)</f>
        <v>#DIV/0!</v>
      </c>
    </row>
    <row r="34" spans="1:17">
      <c r="A34" s="21"/>
      <c r="C34" s="2"/>
      <c r="D34" s="1"/>
      <c r="E34" s="22"/>
      <c r="H34" s="2"/>
      <c r="L34" s="16"/>
      <c r="M34" s="19"/>
      <c r="N34" s="26"/>
      <c r="O34" s="2"/>
      <c r="P34" s="8"/>
      <c r="Q34" s="39"/>
    </row>
    <row r="35" spans="1:17">
      <c r="A35" s="21"/>
      <c r="B35" t="s">
        <v>72</v>
      </c>
      <c r="C35" s="2">
        <f>SUM(C13:C33)</f>
        <v>4883406</v>
      </c>
      <c r="D35" s="1">
        <f t="shared" ref="D35:J35" si="0">SUM(D13:D33)</f>
        <v>4496863</v>
      </c>
      <c r="E35" s="22">
        <f t="shared" si="0"/>
        <v>0.5</v>
      </c>
      <c r="F35">
        <f t="shared" si="0"/>
        <v>67</v>
      </c>
      <c r="G35" s="22">
        <f t="shared" si="0"/>
        <v>0.24999999999999997</v>
      </c>
      <c r="H35" s="2">
        <f t="shared" si="0"/>
        <v>39863872</v>
      </c>
      <c r="I35" s="22">
        <f t="shared" si="0"/>
        <v>0.25</v>
      </c>
      <c r="J35" s="22">
        <f t="shared" si="0"/>
        <v>1</v>
      </c>
      <c r="K35" s="2">
        <f>SUM(K13:K33)</f>
        <v>3350459</v>
      </c>
      <c r="L35" s="16">
        <f>SUM(L13:L33)</f>
        <v>8233865</v>
      </c>
      <c r="M35" s="19">
        <f>SUM(M13:M33)</f>
        <v>346998</v>
      </c>
      <c r="N35" s="26">
        <f>SUM(N13:N33)</f>
        <v>8580863</v>
      </c>
      <c r="O35" s="2">
        <v>0</v>
      </c>
      <c r="P35" s="19">
        <f>SUM(P13:P33)</f>
        <v>8580863</v>
      </c>
      <c r="Q35" s="39" t="e">
        <f>SUM(P35/O35)</f>
        <v>#DIV/0!</v>
      </c>
    </row>
    <row r="36" spans="1:17">
      <c r="A36" s="23"/>
      <c r="B36" s="27"/>
      <c r="C36" s="27"/>
      <c r="D36" s="24"/>
      <c r="E36" s="27"/>
      <c r="F36" s="27"/>
      <c r="G36" s="27"/>
      <c r="H36" s="28"/>
      <c r="I36" s="27"/>
      <c r="J36" s="27"/>
      <c r="K36" s="27"/>
      <c r="L36" s="17"/>
      <c r="M36" s="20"/>
      <c r="N36" s="29"/>
      <c r="O36" s="27"/>
      <c r="P36" s="9"/>
      <c r="Q36" s="25"/>
    </row>
    <row r="37" spans="1:17">
      <c r="I37" t="s">
        <v>31</v>
      </c>
      <c r="K37" s="2">
        <f>'final award 6-2-11'!B25-C35</f>
        <v>3350459</v>
      </c>
      <c r="L37" s="2"/>
      <c r="M37" s="2"/>
      <c r="N37" s="2"/>
    </row>
    <row r="38" spans="1:17" ht="15.75">
      <c r="B38" s="6"/>
      <c r="C38" s="6" t="s">
        <v>6</v>
      </c>
      <c r="D38" s="6" t="s">
        <v>296</v>
      </c>
      <c r="L38" s="2"/>
      <c r="M38" s="2"/>
      <c r="N38" s="2"/>
    </row>
    <row r="39" spans="1:17" ht="15.75">
      <c r="B39" s="6"/>
      <c r="C39" s="6" t="s">
        <v>7</v>
      </c>
      <c r="D39" s="6" t="s">
        <v>35</v>
      </c>
      <c r="P39" s="41"/>
    </row>
    <row r="40" spans="1:17">
      <c r="O40" s="41"/>
    </row>
  </sheetData>
  <phoneticPr fontId="5" type="noConversion"/>
  <pageMargins left="0.75" right="0.75" top="1" bottom="1" header="0.5" footer="0.5"/>
  <pageSetup paperSize="5" scale="7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O84"/>
  <sheetViews>
    <sheetView topLeftCell="A2" zoomScaleNormal="100" workbookViewId="0">
      <selection activeCell="H4" sqref="H4"/>
    </sheetView>
  </sheetViews>
  <sheetFormatPr defaultColWidth="7.109375" defaultRowHeight="12.75"/>
  <cols>
    <col min="1" max="1" width="4.5546875" style="166" customWidth="1"/>
    <col min="2" max="2" width="10.77734375" style="166" customWidth="1"/>
    <col min="3" max="3" width="9.21875" style="166" customWidth="1"/>
    <col min="4" max="4" width="8.77734375" style="166" customWidth="1"/>
    <col min="5" max="5" width="9.21875" style="166" customWidth="1"/>
    <col min="6" max="6" width="8.77734375" style="166" customWidth="1"/>
    <col min="7" max="7" width="9.6640625" style="166" customWidth="1"/>
    <col min="8" max="8" width="13.21875" style="166" customWidth="1"/>
    <col min="9" max="9" width="11.33203125" style="166" customWidth="1"/>
    <col min="10" max="10" width="9.21875" style="166" customWidth="1"/>
    <col min="11" max="11" width="14" style="166" customWidth="1"/>
    <col min="12" max="12" width="13.77734375" style="166" customWidth="1"/>
    <col min="13" max="13" width="14.5546875" style="166" customWidth="1"/>
    <col min="14" max="14" width="12" style="166" customWidth="1"/>
    <col min="15" max="15" width="14.44140625" style="166" customWidth="1"/>
    <col min="16" max="16384" width="7.109375" style="168"/>
  </cols>
  <sheetData>
    <row r="2" spans="1:15" ht="18.75">
      <c r="G2" s="167"/>
      <c r="I2" s="167" t="s">
        <v>304</v>
      </c>
      <c r="K2" s="167"/>
      <c r="L2" s="167"/>
      <c r="M2" s="167"/>
      <c r="N2" s="167"/>
    </row>
    <row r="3" spans="1:15" ht="18.75">
      <c r="F3" s="167"/>
      <c r="H3" s="167" t="s">
        <v>305</v>
      </c>
      <c r="I3" s="167"/>
      <c r="J3" s="167"/>
      <c r="K3" s="167"/>
      <c r="L3" s="167"/>
      <c r="M3" s="167"/>
      <c r="N3" s="167"/>
    </row>
    <row r="4" spans="1:15" ht="15.75">
      <c r="H4" s="169"/>
      <c r="I4" s="170" t="s">
        <v>84</v>
      </c>
    </row>
    <row r="5" spans="1:15" ht="15.75">
      <c r="A5" s="164"/>
      <c r="B5" s="164"/>
      <c r="C5" s="164"/>
      <c r="D5" s="164"/>
      <c r="E5" s="164"/>
      <c r="F5" s="164"/>
      <c r="G5" s="164"/>
      <c r="H5" s="164"/>
      <c r="I5" s="171"/>
      <c r="J5" s="164"/>
      <c r="K5" s="164"/>
      <c r="L5" s="164"/>
      <c r="M5" s="164"/>
      <c r="N5" s="164"/>
      <c r="O5" s="164"/>
    </row>
    <row r="6" spans="1:15" ht="15.75">
      <c r="A6" s="164"/>
      <c r="B6" s="164"/>
      <c r="C6" s="164"/>
      <c r="D6" s="164"/>
      <c r="E6" s="164"/>
      <c r="F6" s="164"/>
      <c r="G6" s="164"/>
      <c r="H6" s="164"/>
      <c r="I6" s="171"/>
      <c r="J6" s="164"/>
      <c r="K6" s="164"/>
      <c r="L6" s="164"/>
      <c r="M6" s="164"/>
      <c r="N6" s="164"/>
      <c r="O6" s="164"/>
    </row>
    <row r="7" spans="1:15">
      <c r="A7" s="164"/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</row>
    <row r="8" spans="1:15">
      <c r="A8" s="172"/>
      <c r="B8" s="437" t="s">
        <v>303</v>
      </c>
      <c r="C8" s="438"/>
      <c r="D8" s="437" t="s">
        <v>303</v>
      </c>
      <c r="E8" s="438"/>
      <c r="F8" s="437" t="s">
        <v>303</v>
      </c>
      <c r="G8" s="438"/>
      <c r="H8" s="437" t="s">
        <v>303</v>
      </c>
      <c r="I8" s="438"/>
      <c r="J8" s="173"/>
      <c r="K8" s="173">
        <v>2003</v>
      </c>
      <c r="L8" s="173">
        <v>2003</v>
      </c>
      <c r="M8" s="173">
        <v>2003</v>
      </c>
      <c r="N8" s="173">
        <v>2003</v>
      </c>
      <c r="O8" s="172"/>
    </row>
    <row r="9" spans="1:15">
      <c r="A9" s="174"/>
      <c r="B9" s="442" t="s">
        <v>4</v>
      </c>
      <c r="C9" s="443"/>
      <c r="D9" s="442" t="s">
        <v>19</v>
      </c>
      <c r="E9" s="443"/>
      <c r="F9" s="442" t="s">
        <v>20</v>
      </c>
      <c r="G9" s="443"/>
      <c r="H9" s="439" t="s">
        <v>126</v>
      </c>
      <c r="I9" s="440"/>
      <c r="J9" s="175" t="s">
        <v>72</v>
      </c>
      <c r="K9" s="175" t="s">
        <v>70</v>
      </c>
      <c r="L9" s="175" t="s">
        <v>68</v>
      </c>
      <c r="M9" s="175" t="s">
        <v>69</v>
      </c>
      <c r="N9" s="175" t="s">
        <v>71</v>
      </c>
      <c r="O9" s="175" t="s">
        <v>72</v>
      </c>
    </row>
    <row r="10" spans="1:15">
      <c r="A10" s="174" t="s">
        <v>64</v>
      </c>
      <c r="B10" s="444" t="s">
        <v>3</v>
      </c>
      <c r="C10" s="445"/>
      <c r="D10" s="444" t="s">
        <v>3</v>
      </c>
      <c r="E10" s="445"/>
      <c r="F10" s="442" t="s">
        <v>54</v>
      </c>
      <c r="G10" s="443"/>
      <c r="H10" s="439" t="s">
        <v>127</v>
      </c>
      <c r="I10" s="440"/>
      <c r="J10" s="175" t="s">
        <v>46</v>
      </c>
      <c r="K10" s="175" t="s">
        <v>67</v>
      </c>
      <c r="L10" s="175" t="s">
        <v>40</v>
      </c>
      <c r="M10" s="175" t="s">
        <v>50</v>
      </c>
      <c r="N10" s="175" t="s">
        <v>55</v>
      </c>
      <c r="O10" s="175" t="s">
        <v>65</v>
      </c>
    </row>
    <row r="11" spans="1:15">
      <c r="A11" s="174"/>
      <c r="B11" s="176" t="s">
        <v>58</v>
      </c>
      <c r="C11" s="177" t="s">
        <v>45</v>
      </c>
      <c r="D11" s="176" t="s">
        <v>58</v>
      </c>
      <c r="E11" s="177" t="s">
        <v>45</v>
      </c>
      <c r="F11" s="176" t="s">
        <v>58</v>
      </c>
      <c r="G11" s="177" t="s">
        <v>45</v>
      </c>
      <c r="H11" s="176" t="s">
        <v>58</v>
      </c>
      <c r="I11" s="177" t="s">
        <v>45</v>
      </c>
      <c r="J11" s="175"/>
      <c r="K11" s="175" t="s">
        <v>65</v>
      </c>
      <c r="L11" s="175" t="s">
        <v>53</v>
      </c>
      <c r="M11" s="175" t="s">
        <v>53</v>
      </c>
      <c r="N11" s="175" t="s">
        <v>38</v>
      </c>
      <c r="O11" s="175" t="s">
        <v>86</v>
      </c>
    </row>
    <row r="12" spans="1:15">
      <c r="A12" s="178"/>
      <c r="B12" s="179"/>
      <c r="C12" s="180"/>
      <c r="D12" s="179"/>
      <c r="E12" s="180"/>
      <c r="F12" s="179"/>
      <c r="G12" s="180"/>
      <c r="H12" s="179"/>
      <c r="I12" s="180"/>
      <c r="J12" s="181"/>
      <c r="K12" s="182" t="s">
        <v>85</v>
      </c>
      <c r="L12" s="182" t="s">
        <v>85</v>
      </c>
      <c r="M12" s="182" t="s">
        <v>85</v>
      </c>
      <c r="N12" s="182" t="s">
        <v>85</v>
      </c>
      <c r="O12" s="178"/>
    </row>
    <row r="13" spans="1:15" s="187" customFormat="1">
      <c r="A13" s="183" t="s">
        <v>8</v>
      </c>
      <c r="B13" s="217">
        <v>149231</v>
      </c>
      <c r="C13" s="185">
        <f>SUM(B13/$B$35*0.35)</f>
        <v>1.1588273115821385E-2</v>
      </c>
      <c r="D13" s="217">
        <v>12279</v>
      </c>
      <c r="E13" s="185">
        <f>SUM(D13/$D$35*0.35)</f>
        <v>9.6218988789955519E-3</v>
      </c>
      <c r="F13" s="184">
        <v>5555</v>
      </c>
      <c r="G13" s="185">
        <f>SUM(F13/$F$35*0.15)</f>
        <v>2.951396268117482E-3</v>
      </c>
      <c r="H13" s="184">
        <v>10411</v>
      </c>
      <c r="I13" s="185">
        <f>SUM(H13/$H$35*0.15)</f>
        <v>5.8902404526166904E-3</v>
      </c>
      <c r="J13" s="185">
        <f>I13+C13+E13+G13</f>
        <v>3.0051808715551111E-2</v>
      </c>
      <c r="K13" s="186">
        <v>728288</v>
      </c>
      <c r="L13" s="186">
        <v>699077</v>
      </c>
      <c r="M13" s="186">
        <v>368452</v>
      </c>
      <c r="N13" s="186">
        <v>276870</v>
      </c>
      <c r="O13" s="186">
        <f>SUM(K13:N13)</f>
        <v>2072687</v>
      </c>
    </row>
    <row r="14" spans="1:15" s="187" customFormat="1">
      <c r="A14" s="183"/>
      <c r="B14" s="217"/>
      <c r="C14" s="185"/>
      <c r="D14" s="217"/>
      <c r="E14" s="185"/>
      <c r="F14" s="183"/>
      <c r="G14" s="183"/>
      <c r="H14" s="183"/>
      <c r="I14" s="183"/>
      <c r="J14" s="183"/>
      <c r="K14" s="186"/>
      <c r="L14" s="186"/>
      <c r="M14" s="186"/>
      <c r="N14" s="186"/>
      <c r="O14" s="186"/>
    </row>
    <row r="15" spans="1:15" s="187" customFormat="1">
      <c r="A15" s="183" t="s">
        <v>11</v>
      </c>
      <c r="B15" s="217">
        <v>140785</v>
      </c>
      <c r="C15" s="185">
        <f>SUM(B15/$B$35*0.35)</f>
        <v>1.0932413711701413E-2</v>
      </c>
      <c r="D15" s="217">
        <v>15734</v>
      </c>
      <c r="E15" s="185">
        <f>SUM(D15/$D$35*0.35)</f>
        <v>1.2329257835500937E-2</v>
      </c>
      <c r="F15" s="184">
        <v>9166</v>
      </c>
      <c r="G15" s="185">
        <f>SUM(F15/$F$35*0.15)</f>
        <v>4.869936668508522E-3</v>
      </c>
      <c r="H15" s="184">
        <v>10938</v>
      </c>
      <c r="I15" s="185">
        <f>SUM(H15/$H$35*0.15)</f>
        <v>6.1884016973125884E-3</v>
      </c>
      <c r="J15" s="185">
        <f>I15+C15+E15+G15</f>
        <v>3.4320009913023461E-2</v>
      </c>
      <c r="K15" s="186">
        <v>839980</v>
      </c>
      <c r="L15" s="186">
        <v>806289</v>
      </c>
      <c r="M15" s="186">
        <v>424959</v>
      </c>
      <c r="N15" s="186">
        <v>319331</v>
      </c>
      <c r="O15" s="186">
        <f>SUM(K15:N15)</f>
        <v>2390559</v>
      </c>
    </row>
    <row r="16" spans="1:15" s="187" customFormat="1">
      <c r="A16" s="183"/>
      <c r="B16" s="217"/>
      <c r="C16" s="185"/>
      <c r="D16" s="217"/>
      <c r="E16" s="185"/>
      <c r="F16" s="183"/>
      <c r="G16" s="183"/>
      <c r="H16" s="183"/>
      <c r="I16" s="183"/>
      <c r="J16" s="183"/>
      <c r="K16" s="186"/>
      <c r="L16" s="186"/>
      <c r="M16" s="186"/>
      <c r="N16" s="186"/>
      <c r="O16" s="186"/>
    </row>
    <row r="17" spans="1:15" s="187" customFormat="1">
      <c r="A17" s="183" t="s">
        <v>13</v>
      </c>
      <c r="B17" s="217">
        <v>487923</v>
      </c>
      <c r="C17" s="185">
        <f>SUM(B17/$B$35*0.35)</f>
        <v>3.788880985513008E-2</v>
      </c>
      <c r="D17" s="217">
        <v>43299</v>
      </c>
      <c r="E17" s="185">
        <f>SUM(D17/$D$35*0.35)</f>
        <v>3.3929359032627115E-2</v>
      </c>
      <c r="F17" s="184">
        <v>15107</v>
      </c>
      <c r="G17" s="185">
        <f>SUM(F17/$F$35*0.15)</f>
        <v>8.0264164576869124E-3</v>
      </c>
      <c r="H17" s="184">
        <v>27514</v>
      </c>
      <c r="I17" s="185">
        <f>SUM(H17/$H$35*0.15)</f>
        <v>1.5566619519094767E-2</v>
      </c>
      <c r="J17" s="185">
        <f>I17+C17+E17+G17</f>
        <v>9.5411204864538871E-2</v>
      </c>
      <c r="K17" s="186">
        <v>2215211</v>
      </c>
      <c r="L17" s="186">
        <v>2126362</v>
      </c>
      <c r="M17" s="186">
        <v>1120710</v>
      </c>
      <c r="N17" s="186">
        <v>842147</v>
      </c>
      <c r="O17" s="186">
        <f>SUM(K17:N17)</f>
        <v>6304430</v>
      </c>
    </row>
    <row r="18" spans="1:15" s="187" customFormat="1">
      <c r="A18" s="183"/>
      <c r="B18" s="217"/>
      <c r="C18" s="185"/>
      <c r="D18" s="217"/>
      <c r="E18" s="185"/>
      <c r="F18" s="183"/>
      <c r="G18" s="183"/>
      <c r="H18" s="183"/>
      <c r="I18" s="183"/>
      <c r="J18" s="183"/>
      <c r="K18" s="186"/>
      <c r="L18" s="186"/>
      <c r="M18" s="186"/>
      <c r="N18" s="186"/>
      <c r="O18" s="186"/>
    </row>
    <row r="19" spans="1:15" s="187" customFormat="1">
      <c r="A19" s="183" t="s">
        <v>14</v>
      </c>
      <c r="B19" s="217">
        <v>437390</v>
      </c>
      <c r="C19" s="185">
        <f>SUM(B19/$B$35*0.35)</f>
        <v>3.3964757846085027E-2</v>
      </c>
      <c r="D19" s="217">
        <v>37482</v>
      </c>
      <c r="E19" s="185">
        <f>SUM(D19/$D$35*0.35)</f>
        <v>2.937112254927203E-2</v>
      </c>
      <c r="F19" s="184">
        <v>18188</v>
      </c>
      <c r="G19" s="185">
        <f>SUM(F19/$F$35*0.15)</f>
        <v>9.663365494963232E-3</v>
      </c>
      <c r="H19" s="184">
        <v>26027</v>
      </c>
      <c r="I19" s="185">
        <f>SUM(H19/$H$35*0.15)</f>
        <v>1.4725318246110324E-2</v>
      </c>
      <c r="J19" s="185">
        <f>I19+C19+E19+G19</f>
        <v>8.7724564136430608E-2</v>
      </c>
      <c r="K19" s="186">
        <v>1969794</v>
      </c>
      <c r="L19" s="186">
        <v>1890788</v>
      </c>
      <c r="M19" s="186">
        <v>996550</v>
      </c>
      <c r="N19" s="186">
        <v>748848</v>
      </c>
      <c r="O19" s="186">
        <f>SUM(K19:N19)</f>
        <v>5605980</v>
      </c>
    </row>
    <row r="20" spans="1:15" s="187" customFormat="1">
      <c r="A20" s="183"/>
      <c r="B20" s="217"/>
      <c r="C20" s="185"/>
      <c r="D20" s="217"/>
      <c r="E20" s="185"/>
      <c r="F20" s="183"/>
      <c r="G20" s="183"/>
      <c r="H20" s="183"/>
      <c r="I20" s="183"/>
      <c r="J20" s="183"/>
      <c r="K20" s="186"/>
      <c r="L20" s="186"/>
      <c r="M20" s="186"/>
      <c r="N20" s="186"/>
      <c r="O20" s="186"/>
    </row>
    <row r="21" spans="1:15" s="187" customFormat="1">
      <c r="A21" s="183" t="s">
        <v>15</v>
      </c>
      <c r="B21" s="217">
        <v>401806</v>
      </c>
      <c r="C21" s="185">
        <f>SUM(B21/$B$35*0.35)</f>
        <v>3.1201544367964611E-2</v>
      </c>
      <c r="D21" s="217">
        <v>35850</v>
      </c>
      <c r="E21" s="185">
        <f>SUM(D21/$D$35*0.35)</f>
        <v>2.8092277450280194E-2</v>
      </c>
      <c r="F21" s="184">
        <v>8611</v>
      </c>
      <c r="G21" s="185">
        <f>SUM(F21/$F$35*0.15)</f>
        <v>4.575062693926127E-3</v>
      </c>
      <c r="H21" s="184">
        <v>21512</v>
      </c>
      <c r="I21" s="185">
        <f>SUM(H21/$H$35*0.15)</f>
        <v>1.2170862800565769E-2</v>
      </c>
      <c r="J21" s="185">
        <f>I21+C21+E21+G21</f>
        <v>7.6039747312736702E-2</v>
      </c>
      <c r="K21" s="186">
        <v>1821257</v>
      </c>
      <c r="L21" s="186">
        <v>1748209</v>
      </c>
      <c r="M21" s="186">
        <v>921403</v>
      </c>
      <c r="N21" s="186">
        <v>692379</v>
      </c>
      <c r="O21" s="186">
        <f>SUM(K21:N21)</f>
        <v>5183248</v>
      </c>
    </row>
    <row r="22" spans="1:15" s="187" customFormat="1">
      <c r="A22" s="183"/>
      <c r="B22" s="217"/>
      <c r="C22" s="185"/>
      <c r="D22" s="217"/>
      <c r="E22" s="185"/>
      <c r="F22" s="183"/>
      <c r="G22" s="183"/>
      <c r="H22" s="183"/>
      <c r="I22" s="183"/>
      <c r="J22" s="183"/>
      <c r="K22" s="186"/>
      <c r="L22" s="186"/>
      <c r="M22" s="186"/>
      <c r="N22" s="186"/>
      <c r="O22" s="186"/>
    </row>
    <row r="23" spans="1:15" s="187" customFormat="1">
      <c r="A23" s="183" t="s">
        <v>17</v>
      </c>
      <c r="B23" s="217">
        <v>499133</v>
      </c>
      <c r="C23" s="185">
        <f>SUM(B23/$B$35*0.35)</f>
        <v>3.8759302860124745E-2</v>
      </c>
      <c r="D23" s="217">
        <v>45911</v>
      </c>
      <c r="E23" s="185">
        <f>SUM(D23/$D$35*0.35)</f>
        <v>3.5976138075866498E-2</v>
      </c>
      <c r="F23" s="184">
        <v>27245</v>
      </c>
      <c r="G23" s="185">
        <f>SUM(F23/$F$35*0.15)</f>
        <v>1.4475389977472691E-2</v>
      </c>
      <c r="H23" s="184">
        <v>30129</v>
      </c>
      <c r="I23" s="185">
        <f>SUM(H23/$H$35*0.15)</f>
        <v>1.7046110325318244E-2</v>
      </c>
      <c r="J23" s="185">
        <f>I23+C23+E23+G23</f>
        <v>0.10625694123878218</v>
      </c>
      <c r="K23" s="186">
        <v>2535369</v>
      </c>
      <c r="L23" s="186">
        <v>2433679</v>
      </c>
      <c r="M23" s="186">
        <v>1282683</v>
      </c>
      <c r="N23" s="186">
        <v>963860</v>
      </c>
      <c r="O23" s="186">
        <f>SUM(K23:N23)</f>
        <v>7215591</v>
      </c>
    </row>
    <row r="24" spans="1:15" s="187" customFormat="1">
      <c r="A24" s="183"/>
      <c r="B24" s="217"/>
      <c r="C24" s="185"/>
      <c r="D24" s="217"/>
      <c r="E24" s="185"/>
      <c r="F24" s="183"/>
      <c r="G24" s="183"/>
      <c r="H24" s="183"/>
      <c r="I24" s="183"/>
      <c r="J24" s="183"/>
      <c r="K24" s="186"/>
      <c r="L24" s="186"/>
      <c r="M24" s="186"/>
      <c r="N24" s="186"/>
      <c r="O24" s="186"/>
    </row>
    <row r="25" spans="1:15" s="187" customFormat="1">
      <c r="A25" s="183" t="s">
        <v>21</v>
      </c>
      <c r="B25" s="217">
        <v>433742</v>
      </c>
      <c r="C25" s="185">
        <f>SUM(B25/$B$35*0.35)</f>
        <v>3.368147876649355E-2</v>
      </c>
      <c r="D25" s="217">
        <v>36751</v>
      </c>
      <c r="E25" s="185">
        <f>SUM(D25/$D$35*0.35)</f>
        <v>2.8798306515348603E-2</v>
      </c>
      <c r="F25" s="184">
        <v>28684</v>
      </c>
      <c r="G25" s="185">
        <f>SUM(F25/$F$35*0.15)</f>
        <v>1.5239937093552088E-2</v>
      </c>
      <c r="H25" s="184">
        <v>25155</v>
      </c>
      <c r="I25" s="185">
        <f>SUM(H25/$H$35*0.15)</f>
        <v>1.423196605374823E-2</v>
      </c>
      <c r="J25" s="185">
        <f>I25+C25+E25+G25</f>
        <v>9.1951688429142475E-2</v>
      </c>
      <c r="K25" s="186">
        <v>1870352</v>
      </c>
      <c r="L25" s="186">
        <v>1795335</v>
      </c>
      <c r="M25" s="186">
        <v>946241</v>
      </c>
      <c r="N25" s="186">
        <v>711043</v>
      </c>
      <c r="O25" s="186">
        <f>SUM(K25:N25)</f>
        <v>5322971</v>
      </c>
    </row>
    <row r="26" spans="1:15" s="187" customFormat="1">
      <c r="A26" s="183"/>
      <c r="B26" s="217"/>
      <c r="C26" s="185"/>
      <c r="D26" s="217"/>
      <c r="E26" s="185"/>
      <c r="F26" s="183"/>
      <c r="G26" s="183"/>
      <c r="H26" s="183"/>
      <c r="I26" s="183"/>
      <c r="J26" s="183"/>
      <c r="K26" s="186"/>
      <c r="L26" s="186"/>
      <c r="M26" s="186"/>
      <c r="N26" s="186"/>
      <c r="O26" s="186"/>
    </row>
    <row r="27" spans="1:15" s="187" customFormat="1">
      <c r="A27" s="183" t="s">
        <v>23</v>
      </c>
      <c r="B27" s="217">
        <v>552009</v>
      </c>
      <c r="C27" s="185">
        <f>SUM(B27/$B$35*0.35)</f>
        <v>4.2865296449071888E-2</v>
      </c>
      <c r="D27" s="217">
        <v>38204</v>
      </c>
      <c r="E27" s="185">
        <f>SUM(D27/$D$35*0.35)</f>
        <v>2.9936886128605428E-2</v>
      </c>
      <c r="F27" s="184">
        <v>10697</v>
      </c>
      <c r="G27" s="185">
        <f>SUM(F27/$F$35*0.15)</f>
        <v>5.6833637947889658E-3</v>
      </c>
      <c r="H27" s="184">
        <v>23968</v>
      </c>
      <c r="I27" s="185">
        <f>SUM(H27/$H$35*0.15)</f>
        <v>1.356039603960396E-2</v>
      </c>
      <c r="J27" s="185">
        <f>I27+C27+E27+G27</f>
        <v>9.2045942412070245E-2</v>
      </c>
      <c r="K27" s="186">
        <v>1920416</v>
      </c>
      <c r="L27" s="186">
        <v>1843391</v>
      </c>
      <c r="M27" s="186">
        <v>971569</v>
      </c>
      <c r="N27" s="186">
        <v>730076</v>
      </c>
      <c r="O27" s="186">
        <f>SUM(K27:N27)</f>
        <v>5465452</v>
      </c>
    </row>
    <row r="28" spans="1:15" s="187" customFormat="1">
      <c r="A28" s="183"/>
      <c r="B28" s="217"/>
      <c r="C28" s="185"/>
      <c r="D28" s="217"/>
      <c r="E28" s="185"/>
      <c r="F28" s="183"/>
      <c r="G28" s="183"/>
      <c r="H28" s="183"/>
      <c r="I28" s="183"/>
      <c r="J28" s="183"/>
      <c r="K28" s="186"/>
      <c r="L28" s="186"/>
      <c r="M28" s="186"/>
      <c r="N28" s="186"/>
      <c r="O28" s="186"/>
    </row>
    <row r="29" spans="1:15" s="187" customFormat="1">
      <c r="A29" s="183" t="s">
        <v>24</v>
      </c>
      <c r="B29" s="217">
        <v>553604</v>
      </c>
      <c r="C29" s="185">
        <f>SUM(B29/$B$35*0.35)</f>
        <v>4.2989153393136692E-2</v>
      </c>
      <c r="D29" s="217">
        <v>43294</v>
      </c>
      <c r="E29" s="185">
        <f>SUM(D29/$D$35*0.35)</f>
        <v>3.3925441002299321E-2</v>
      </c>
      <c r="F29" s="184">
        <v>20572</v>
      </c>
      <c r="G29" s="185">
        <f>SUM(F29/$F$35*0.15)</f>
        <v>1.0929995324520764E-2</v>
      </c>
      <c r="H29" s="184">
        <v>27135</v>
      </c>
      <c r="I29" s="185">
        <f>SUM(H29/$H$35*0.15)</f>
        <v>1.5352192362093352E-2</v>
      </c>
      <c r="J29" s="185">
        <f>I29+C29+E29+G29</f>
        <v>0.10319678208205013</v>
      </c>
      <c r="K29" s="186">
        <v>2307198</v>
      </c>
      <c r="L29" s="186">
        <v>2214659</v>
      </c>
      <c r="M29" s="186">
        <v>1167247</v>
      </c>
      <c r="N29" s="186">
        <v>877117</v>
      </c>
      <c r="O29" s="186">
        <f>SUM(K29:N29)</f>
        <v>6566221</v>
      </c>
    </row>
    <row r="30" spans="1:15" s="187" customFormat="1">
      <c r="A30" s="183"/>
      <c r="B30" s="217"/>
      <c r="C30" s="185"/>
      <c r="D30" s="217"/>
      <c r="E30" s="185"/>
      <c r="F30" s="183"/>
      <c r="G30" s="183"/>
      <c r="H30" s="183"/>
      <c r="I30" s="183"/>
      <c r="J30" s="183"/>
      <c r="K30" s="186"/>
      <c r="L30" s="186"/>
      <c r="M30" s="186"/>
      <c r="N30" s="186"/>
      <c r="O30" s="186"/>
    </row>
    <row r="31" spans="1:15" s="187" customFormat="1">
      <c r="A31" s="183" t="s">
        <v>9</v>
      </c>
      <c r="B31" s="217">
        <v>345071</v>
      </c>
      <c r="C31" s="185">
        <f>SUM(B31/$B$35*0.35)</f>
        <v>2.6795886862311456E-2</v>
      </c>
      <c r="D31" s="217">
        <v>39223</v>
      </c>
      <c r="E31" s="185">
        <f>SUM(D31/$D$35*0.35)</f>
        <v>3.073538070940976E-2</v>
      </c>
      <c r="F31" s="184">
        <v>25821</v>
      </c>
      <c r="G31" s="185">
        <f>SUM(F31/$F$35*0.15)</f>
        <v>1.3718812428273898E-2</v>
      </c>
      <c r="H31" s="184">
        <v>22371</v>
      </c>
      <c r="I31" s="185">
        <f>SUM(H31/$H$35*0.15)</f>
        <v>1.2656859971711456E-2</v>
      </c>
      <c r="J31" s="185">
        <f>I31+C31+E31+G31</f>
        <v>8.3906939971706576E-2</v>
      </c>
      <c r="K31" s="186">
        <v>1906064</v>
      </c>
      <c r="L31" s="186">
        <v>1829614</v>
      </c>
      <c r="M31" s="186">
        <v>964307</v>
      </c>
      <c r="N31" s="186">
        <v>724619</v>
      </c>
      <c r="O31" s="186">
        <f>SUM(K31:N31)</f>
        <v>5424604</v>
      </c>
    </row>
    <row r="32" spans="1:15" s="187" customFormat="1">
      <c r="A32" s="183"/>
      <c r="B32" s="217"/>
      <c r="C32" s="185"/>
      <c r="D32" s="217"/>
      <c r="E32" s="185"/>
      <c r="F32" s="183"/>
      <c r="G32" s="183"/>
      <c r="H32" s="183"/>
      <c r="I32" s="183"/>
      <c r="J32" s="183"/>
      <c r="K32" s="186"/>
      <c r="L32" s="186"/>
      <c r="M32" s="186"/>
      <c r="N32" s="186"/>
      <c r="O32" s="186"/>
    </row>
    <row r="33" spans="1:15" s="187" customFormat="1">
      <c r="A33" s="183" t="s">
        <v>10</v>
      </c>
      <c r="B33" s="217">
        <v>506522</v>
      </c>
      <c r="C33" s="185">
        <f>SUM(B33/$B$35*0.35)</f>
        <v>3.9333082772159134E-2</v>
      </c>
      <c r="D33" s="217">
        <v>98626</v>
      </c>
      <c r="E33" s="185">
        <f>SUM(D33/$D$35*0.35)</f>
        <v>7.7283931821794535E-2</v>
      </c>
      <c r="F33" s="184">
        <v>112678</v>
      </c>
      <c r="G33" s="185">
        <f>SUM(F33/$F$35*0.15)</f>
        <v>5.9866323798189305E-2</v>
      </c>
      <c r="H33" s="184">
        <v>39965</v>
      </c>
      <c r="I33" s="185">
        <f>SUM(H33/$H$35*0.15)</f>
        <v>2.2611032531824612E-2</v>
      </c>
      <c r="J33" s="185">
        <f>I33+C33+E33+G33</f>
        <v>0.19909437092396759</v>
      </c>
      <c r="K33" s="186">
        <v>4401312</v>
      </c>
      <c r="L33" s="186">
        <f>(4224784)</f>
        <v>4224784</v>
      </c>
      <c r="M33" s="186">
        <f>2226692</f>
        <v>2226692</v>
      </c>
      <c r="N33" s="186">
        <f>1673226</f>
        <v>1673226</v>
      </c>
      <c r="O33" s="186">
        <f>SUM(K33:N33)</f>
        <v>12526014</v>
      </c>
    </row>
    <row r="34" spans="1:15" s="187" customFormat="1">
      <c r="A34" s="183"/>
      <c r="B34" s="216"/>
      <c r="C34" s="183"/>
      <c r="D34" s="183"/>
      <c r="E34" s="183"/>
      <c r="F34" s="183"/>
      <c r="G34" s="183"/>
      <c r="H34" s="183"/>
      <c r="I34" s="183"/>
      <c r="J34" s="183"/>
      <c r="K34" s="186"/>
      <c r="L34" s="186"/>
      <c r="M34" s="186"/>
      <c r="N34" s="186"/>
      <c r="O34" s="186"/>
    </row>
    <row r="35" spans="1:15" s="187" customFormat="1">
      <c r="A35" s="183" t="s">
        <v>72</v>
      </c>
      <c r="B35" s="184">
        <f t="shared" ref="B35:N35" si="0">SUM(B13:B33)</f>
        <v>4507216</v>
      </c>
      <c r="C35" s="185">
        <f t="shared" si="0"/>
        <v>0.35</v>
      </c>
      <c r="D35" s="184">
        <f t="shared" si="0"/>
        <v>446653</v>
      </c>
      <c r="E35" s="185">
        <f t="shared" si="0"/>
        <v>0.35</v>
      </c>
      <c r="F35" s="184">
        <f t="shared" si="0"/>
        <v>282324</v>
      </c>
      <c r="G35" s="185">
        <f t="shared" si="0"/>
        <v>0.15</v>
      </c>
      <c r="H35" s="184">
        <f t="shared" si="0"/>
        <v>265125</v>
      </c>
      <c r="I35" s="185">
        <f t="shared" si="0"/>
        <v>0.15</v>
      </c>
      <c r="J35" s="185">
        <f t="shared" si="0"/>
        <v>1</v>
      </c>
      <c r="K35" s="186">
        <f t="shared" si="0"/>
        <v>22515241</v>
      </c>
      <c r="L35" s="186">
        <f t="shared" si="0"/>
        <v>21612187</v>
      </c>
      <c r="M35" s="186">
        <f t="shared" si="0"/>
        <v>11390813</v>
      </c>
      <c r="N35" s="186">
        <f t="shared" si="0"/>
        <v>8559516</v>
      </c>
      <c r="O35" s="186">
        <f>SUM(O13:O33)</f>
        <v>64077757</v>
      </c>
    </row>
    <row r="36" spans="1:15" ht="13.5" thickBot="1">
      <c r="A36" s="188"/>
      <c r="B36" s="188"/>
      <c r="C36" s="188"/>
      <c r="D36" s="188"/>
      <c r="E36" s="188"/>
      <c r="F36" s="188"/>
      <c r="G36" s="188"/>
      <c r="H36" s="188"/>
      <c r="I36" s="188"/>
      <c r="J36" s="188"/>
      <c r="K36" s="189"/>
      <c r="L36" s="189"/>
      <c r="M36" s="190"/>
      <c r="N36" s="191"/>
      <c r="O36" s="192"/>
    </row>
    <row r="37" spans="1:15">
      <c r="B37" s="166" t="s">
        <v>57</v>
      </c>
      <c r="G37" s="193"/>
      <c r="I37" s="193"/>
      <c r="K37" s="194"/>
      <c r="O37" s="164"/>
    </row>
    <row r="38" spans="1:15">
      <c r="K38" s="194"/>
    </row>
    <row r="39" spans="1:15">
      <c r="A39" s="166" t="s">
        <v>66</v>
      </c>
      <c r="K39" s="194"/>
    </row>
    <row r="40" spans="1:15" ht="12.75" customHeight="1">
      <c r="B40" s="207"/>
      <c r="I40" s="193"/>
      <c r="K40" s="194"/>
      <c r="M40" s="195"/>
    </row>
    <row r="42" spans="1:15" ht="12.75" customHeight="1">
      <c r="K42" s="194"/>
    </row>
    <row r="43" spans="1:15" ht="12.75" customHeight="1"/>
    <row r="45" spans="1:15">
      <c r="B45" s="441"/>
      <c r="C45" s="441"/>
      <c r="D45" s="441"/>
      <c r="E45" s="441"/>
      <c r="F45" s="441"/>
      <c r="G45" s="441"/>
    </row>
    <row r="46" spans="1:15">
      <c r="B46" s="441"/>
      <c r="C46" s="441"/>
      <c r="D46" s="441"/>
      <c r="E46" s="441"/>
      <c r="F46" s="441"/>
      <c r="G46" s="441"/>
      <c r="L46" s="166" t="s">
        <v>2</v>
      </c>
    </row>
    <row r="47" spans="1:15">
      <c r="B47" s="441"/>
      <c r="C47" s="441"/>
      <c r="D47" s="441"/>
      <c r="E47" s="441"/>
      <c r="F47" s="441"/>
      <c r="G47" s="441"/>
    </row>
    <row r="48" spans="1:15">
      <c r="B48" s="441"/>
      <c r="C48" s="441"/>
      <c r="D48" s="441"/>
      <c r="E48" s="441"/>
      <c r="F48" s="441"/>
      <c r="G48" s="441"/>
    </row>
    <row r="61" spans="2:14">
      <c r="B61" s="194"/>
      <c r="C61" s="194"/>
      <c r="D61" s="194"/>
      <c r="E61" s="194"/>
      <c r="F61" s="194"/>
      <c r="G61" s="194"/>
      <c r="J61" s="194"/>
      <c r="L61" s="194"/>
      <c r="M61" s="194"/>
      <c r="N61" s="194"/>
    </row>
    <row r="62" spans="2:14">
      <c r="D62" s="194"/>
      <c r="E62" s="194"/>
      <c r="G62" s="194"/>
      <c r="J62" s="194"/>
    </row>
    <row r="63" spans="2:14">
      <c r="B63" s="194"/>
      <c r="C63" s="194"/>
      <c r="D63" s="194"/>
      <c r="E63" s="194"/>
      <c r="F63" s="194"/>
      <c r="G63" s="194"/>
      <c r="J63" s="194"/>
      <c r="L63" s="194"/>
      <c r="M63" s="194"/>
      <c r="N63" s="194"/>
    </row>
    <row r="64" spans="2:14">
      <c r="C64" s="194"/>
      <c r="D64" s="194"/>
      <c r="G64" s="194"/>
      <c r="J64" s="194"/>
    </row>
    <row r="65" spans="2:14">
      <c r="B65" s="194"/>
      <c r="C65" s="194"/>
      <c r="D65" s="194"/>
      <c r="E65" s="194"/>
      <c r="F65" s="194"/>
      <c r="G65" s="194"/>
      <c r="J65" s="194"/>
      <c r="L65" s="194"/>
      <c r="M65" s="194"/>
      <c r="N65" s="194"/>
    </row>
    <row r="66" spans="2:14">
      <c r="C66" s="194"/>
      <c r="D66" s="194"/>
      <c r="E66" s="194"/>
      <c r="G66" s="194"/>
      <c r="J66" s="194"/>
    </row>
    <row r="67" spans="2:14">
      <c r="B67" s="194"/>
      <c r="C67" s="194"/>
      <c r="D67" s="194"/>
      <c r="E67" s="194"/>
      <c r="F67" s="194"/>
      <c r="G67" s="194"/>
      <c r="J67" s="194"/>
      <c r="L67" s="194"/>
      <c r="M67" s="194"/>
      <c r="N67" s="194"/>
    </row>
    <row r="68" spans="2:14">
      <c r="C68" s="194"/>
      <c r="D68" s="194"/>
      <c r="G68" s="194"/>
      <c r="J68" s="194"/>
    </row>
    <row r="69" spans="2:14">
      <c r="B69" s="194"/>
      <c r="C69" s="194"/>
      <c r="D69" s="194"/>
      <c r="E69" s="194"/>
      <c r="F69" s="194"/>
      <c r="G69" s="194"/>
      <c r="J69" s="194"/>
      <c r="L69" s="194"/>
      <c r="M69" s="194"/>
      <c r="N69" s="194"/>
    </row>
    <row r="70" spans="2:14">
      <c r="C70" s="194"/>
      <c r="D70" s="194"/>
      <c r="E70" s="194"/>
      <c r="G70" s="194"/>
      <c r="J70" s="194"/>
    </row>
    <row r="71" spans="2:14">
      <c r="B71" s="194"/>
      <c r="C71" s="194"/>
      <c r="D71" s="194"/>
      <c r="E71" s="194"/>
      <c r="F71" s="194"/>
      <c r="G71" s="194"/>
      <c r="J71" s="194"/>
      <c r="L71" s="194"/>
      <c r="M71" s="194"/>
      <c r="N71" s="194"/>
    </row>
    <row r="72" spans="2:14">
      <c r="C72" s="194"/>
      <c r="D72" s="194"/>
      <c r="G72" s="194"/>
      <c r="J72" s="194"/>
    </row>
    <row r="73" spans="2:14">
      <c r="B73" s="194"/>
      <c r="C73" s="194"/>
      <c r="D73" s="194"/>
      <c r="E73" s="194"/>
      <c r="F73" s="194"/>
      <c r="G73" s="194"/>
      <c r="J73" s="194"/>
      <c r="L73" s="194"/>
      <c r="M73" s="194"/>
      <c r="N73" s="194"/>
    </row>
    <row r="74" spans="2:14">
      <c r="C74" s="194"/>
      <c r="D74" s="194"/>
      <c r="E74" s="194"/>
      <c r="G74" s="194"/>
      <c r="J74" s="194"/>
    </row>
    <row r="75" spans="2:14">
      <c r="B75" s="194"/>
      <c r="C75" s="194"/>
      <c r="D75" s="194"/>
      <c r="E75" s="194"/>
      <c r="F75" s="194"/>
      <c r="G75" s="194"/>
      <c r="J75" s="194"/>
      <c r="L75" s="194"/>
      <c r="M75" s="194"/>
      <c r="N75" s="194"/>
    </row>
    <row r="76" spans="2:14">
      <c r="C76" s="194"/>
      <c r="D76" s="194"/>
      <c r="G76" s="194"/>
      <c r="J76" s="194"/>
    </row>
    <row r="77" spans="2:14">
      <c r="B77" s="194"/>
      <c r="C77" s="194"/>
      <c r="D77" s="194"/>
      <c r="E77" s="194"/>
      <c r="F77" s="194"/>
      <c r="G77" s="194"/>
      <c r="J77" s="194"/>
      <c r="L77" s="194"/>
      <c r="M77" s="194"/>
      <c r="N77" s="194"/>
    </row>
    <row r="78" spans="2:14">
      <c r="C78" s="194"/>
      <c r="D78" s="194"/>
      <c r="G78" s="194"/>
      <c r="J78" s="194"/>
    </row>
    <row r="79" spans="2:14">
      <c r="B79" s="194"/>
      <c r="C79" s="194"/>
      <c r="D79" s="194"/>
      <c r="E79" s="194"/>
      <c r="F79" s="194"/>
      <c r="G79" s="194"/>
      <c r="J79" s="194"/>
      <c r="L79" s="194"/>
      <c r="M79" s="194"/>
      <c r="N79" s="194"/>
    </row>
    <row r="80" spans="2:14">
      <c r="C80" s="194"/>
      <c r="D80" s="194"/>
      <c r="E80" s="194"/>
      <c r="G80" s="194"/>
      <c r="J80" s="194"/>
    </row>
    <row r="81" spans="2:14">
      <c r="B81" s="194"/>
      <c r="C81" s="194"/>
      <c r="D81" s="194"/>
      <c r="E81" s="194"/>
      <c r="F81" s="194"/>
      <c r="G81" s="194"/>
      <c r="J81" s="194"/>
      <c r="L81" s="194"/>
      <c r="M81" s="194"/>
      <c r="N81" s="194"/>
    </row>
    <row r="82" spans="2:14">
      <c r="C82" s="194"/>
      <c r="D82" s="194"/>
      <c r="G82" s="194"/>
      <c r="J82" s="194"/>
      <c r="L82" s="194"/>
    </row>
    <row r="83" spans="2:14">
      <c r="B83" s="194"/>
      <c r="C83" s="194"/>
      <c r="D83" s="194"/>
      <c r="E83" s="194"/>
      <c r="F83" s="194"/>
      <c r="G83" s="194"/>
      <c r="J83" s="194"/>
      <c r="L83" s="194"/>
      <c r="M83" s="194"/>
      <c r="N83" s="194"/>
    </row>
    <row r="84" spans="2:14">
      <c r="C84" s="194"/>
    </row>
  </sheetData>
  <mergeCells count="13">
    <mergeCell ref="H8:I8"/>
    <mergeCell ref="H9:I9"/>
    <mergeCell ref="H10:I10"/>
    <mergeCell ref="F8:G8"/>
    <mergeCell ref="B45:G48"/>
    <mergeCell ref="B8:C8"/>
    <mergeCell ref="B9:C9"/>
    <mergeCell ref="B10:C10"/>
    <mergeCell ref="D8:E8"/>
    <mergeCell ref="D9:E9"/>
    <mergeCell ref="D10:E10"/>
    <mergeCell ref="F9:G9"/>
    <mergeCell ref="F10:G10"/>
  </mergeCells>
  <phoneticPr fontId="4" type="noConversion"/>
  <pageMargins left="0.75" right="0.75" top="1" bottom="1" header="0.5" footer="0.5"/>
  <pageSetup paperSize="5" scale="79" orientation="landscape" r:id="rId1"/>
  <headerFooter alignWithMargins="0"/>
  <rowBreaks count="2" manualBreakCount="2">
    <brk id="44" max="16383" man="1"/>
    <brk id="9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E33" sqref="E33"/>
    </sheetView>
  </sheetViews>
  <sheetFormatPr defaultRowHeight="15"/>
  <cols>
    <col min="1" max="1" width="7.109375" style="208" customWidth="1"/>
    <col min="2" max="2" width="20.33203125" style="209" bestFit="1" customWidth="1"/>
    <col min="3" max="3" width="15.109375" style="209" bestFit="1" customWidth="1"/>
    <col min="4" max="16384" width="8.88671875" style="209"/>
  </cols>
  <sheetData>
    <row r="1" spans="1:4">
      <c r="A1" s="449" t="s">
        <v>94</v>
      </c>
      <c r="B1" s="450"/>
      <c r="C1" s="451"/>
      <c r="D1" s="211"/>
    </row>
    <row r="2" spans="1:4">
      <c r="A2" s="452" t="s">
        <v>101</v>
      </c>
      <c r="B2" s="453"/>
      <c r="C2" s="454"/>
      <c r="D2" s="211"/>
    </row>
    <row r="3" spans="1:4">
      <c r="A3" s="452" t="s">
        <v>108</v>
      </c>
      <c r="B3" s="453"/>
      <c r="C3" s="454"/>
      <c r="D3" s="211"/>
    </row>
    <row r="4" spans="1:4" ht="15.75" thickBot="1">
      <c r="A4" s="446" t="s">
        <v>309</v>
      </c>
      <c r="B4" s="447"/>
      <c r="C4" s="448"/>
      <c r="D4" s="211"/>
    </row>
    <row r="5" spans="1:4">
      <c r="A5" s="208" t="s">
        <v>64</v>
      </c>
      <c r="B5" s="209" t="s">
        <v>129</v>
      </c>
      <c r="C5" s="209" t="s">
        <v>130</v>
      </c>
    </row>
    <row r="6" spans="1:4">
      <c r="A6" s="208">
        <v>1</v>
      </c>
      <c r="B6" s="260">
        <v>23954</v>
      </c>
      <c r="C6" s="407">
        <v>65647</v>
      </c>
    </row>
    <row r="7" spans="1:4">
      <c r="A7" s="208">
        <v>2</v>
      </c>
      <c r="B7" s="260">
        <v>20934</v>
      </c>
      <c r="C7" s="407">
        <v>57369</v>
      </c>
    </row>
    <row r="8" spans="1:4">
      <c r="A8" s="208">
        <v>3</v>
      </c>
      <c r="B8" s="260">
        <v>65975</v>
      </c>
      <c r="C8" s="407">
        <v>180806</v>
      </c>
    </row>
    <row r="9" spans="1:4">
      <c r="A9" s="208">
        <v>4</v>
      </c>
      <c r="B9" s="260">
        <v>32287</v>
      </c>
      <c r="C9" s="407">
        <v>88482</v>
      </c>
    </row>
    <row r="10" spans="1:4">
      <c r="A10" s="208">
        <v>5</v>
      </c>
      <c r="B10" s="260">
        <v>37019</v>
      </c>
      <c r="C10" s="407">
        <v>101450</v>
      </c>
    </row>
    <row r="11" spans="1:4">
      <c r="A11" s="208">
        <v>6</v>
      </c>
      <c r="B11" s="260">
        <v>35579</v>
      </c>
      <c r="C11" s="407">
        <v>97504</v>
      </c>
    </row>
    <row r="12" spans="1:4">
      <c r="A12" s="208">
        <v>7</v>
      </c>
      <c r="B12" s="260">
        <v>49131</v>
      </c>
      <c r="C12" s="407">
        <v>134645</v>
      </c>
    </row>
    <row r="13" spans="1:4">
      <c r="A13" s="208">
        <v>8</v>
      </c>
      <c r="B13" s="260">
        <v>23384</v>
      </c>
      <c r="C13" s="407">
        <v>64176</v>
      </c>
    </row>
    <row r="14" spans="1:4">
      <c r="A14" s="208">
        <v>9</v>
      </c>
      <c r="B14" s="260">
        <v>26565</v>
      </c>
      <c r="C14" s="407">
        <v>72801</v>
      </c>
    </row>
    <row r="15" spans="1:4">
      <c r="A15" s="208">
        <v>10</v>
      </c>
      <c r="B15" s="260">
        <v>30471</v>
      </c>
      <c r="C15" s="407">
        <v>83507</v>
      </c>
    </row>
    <row r="16" spans="1:4">
      <c r="A16" s="208">
        <v>11</v>
      </c>
      <c r="B16" s="260">
        <v>62132</v>
      </c>
      <c r="C16" s="407">
        <v>170024</v>
      </c>
    </row>
    <row r="17" spans="1:3">
      <c r="A17" s="208" t="s">
        <v>72</v>
      </c>
      <c r="B17" s="210">
        <f>SUM(B6:B16)</f>
        <v>407431</v>
      </c>
      <c r="C17" s="210">
        <f>SUM(C6:C16)</f>
        <v>1116411</v>
      </c>
    </row>
  </sheetData>
  <mergeCells count="4">
    <mergeCell ref="A4:C4"/>
    <mergeCell ref="A1:C1"/>
    <mergeCell ref="A2:C2"/>
    <mergeCell ref="A3:C3"/>
  </mergeCells>
  <phoneticPr fontId="5" type="noConversion"/>
  <printOptions gridLines="1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4:L48"/>
  <sheetViews>
    <sheetView workbookViewId="0">
      <selection activeCell="F9" sqref="F9:F29"/>
    </sheetView>
  </sheetViews>
  <sheetFormatPr defaultColWidth="7.109375" defaultRowHeight="12.75"/>
  <cols>
    <col min="1" max="3" width="7.109375" style="196" customWidth="1"/>
    <col min="4" max="4" width="7.109375" style="197" customWidth="1"/>
    <col min="5" max="8" width="15.44140625" style="197" customWidth="1"/>
    <col min="9" max="9" width="8.6640625" style="196" customWidth="1"/>
    <col min="10" max="10" width="7.109375" style="196" customWidth="1"/>
    <col min="11" max="11" width="9.44140625" style="196" bestFit="1" customWidth="1"/>
    <col min="12" max="16384" width="7.109375" style="196"/>
  </cols>
  <sheetData>
    <row r="4" spans="1:11" ht="13.5" thickBot="1"/>
    <row r="5" spans="1:11" ht="12.75" customHeight="1">
      <c r="A5" s="198"/>
      <c r="B5" s="198"/>
      <c r="C5" s="198"/>
      <c r="D5" s="460" t="s">
        <v>64</v>
      </c>
      <c r="E5" s="456" t="s">
        <v>283</v>
      </c>
      <c r="F5" s="456" t="s">
        <v>284</v>
      </c>
      <c r="G5" s="456" t="s">
        <v>285</v>
      </c>
      <c r="H5" s="456" t="s">
        <v>286</v>
      </c>
      <c r="I5" s="458" t="s">
        <v>128</v>
      </c>
    </row>
    <row r="6" spans="1:11">
      <c r="A6" s="198"/>
      <c r="B6" s="198"/>
      <c r="C6" s="198"/>
      <c r="D6" s="461"/>
      <c r="E6" s="457"/>
      <c r="F6" s="457"/>
      <c r="G6" s="457"/>
      <c r="H6" s="457"/>
      <c r="I6" s="459"/>
      <c r="K6" s="218"/>
    </row>
    <row r="7" spans="1:11">
      <c r="A7" s="199"/>
      <c r="B7" s="199"/>
      <c r="D7" s="461"/>
      <c r="E7" s="457"/>
      <c r="F7" s="457"/>
      <c r="G7" s="457"/>
      <c r="H7" s="457"/>
      <c r="I7" s="459"/>
    </row>
    <row r="8" spans="1:11">
      <c r="D8" s="461"/>
      <c r="E8" s="457"/>
      <c r="F8" s="457"/>
      <c r="G8" s="457"/>
      <c r="H8" s="457"/>
      <c r="I8" s="459"/>
    </row>
    <row r="9" spans="1:11">
      <c r="D9" s="200">
        <v>1</v>
      </c>
      <c r="E9" s="423">
        <v>149231</v>
      </c>
      <c r="F9" s="423">
        <v>12279</v>
      </c>
      <c r="G9" s="423">
        <v>5555</v>
      </c>
      <c r="H9" s="423">
        <v>10411</v>
      </c>
      <c r="I9" s="202">
        <f>(E9/E$30)*0.35+(F9/F$30)*0.35+(G9/G$30)*0.15+(H9/H$30)*0.15</f>
        <v>3.0051808715551111E-2</v>
      </c>
    </row>
    <row r="10" spans="1:11">
      <c r="D10" s="200"/>
      <c r="E10" s="201"/>
      <c r="F10" s="201"/>
      <c r="G10" s="201"/>
      <c r="H10" s="201"/>
      <c r="I10" s="202"/>
    </row>
    <row r="11" spans="1:11">
      <c r="D11" s="200">
        <v>2</v>
      </c>
      <c r="E11" s="423">
        <v>140785</v>
      </c>
      <c r="F11" s="423">
        <v>15734</v>
      </c>
      <c r="G11" s="423">
        <v>9166</v>
      </c>
      <c r="H11" s="423">
        <v>10938</v>
      </c>
      <c r="I11" s="202">
        <f>(E11/E$30)*0.35+(F11/F$30)*0.35+(G11/G$30)*0.15+(H11/H$30)*0.15</f>
        <v>3.4320009913023461E-2</v>
      </c>
    </row>
    <row r="12" spans="1:11">
      <c r="D12" s="200"/>
      <c r="E12" s="201"/>
      <c r="F12" s="201"/>
      <c r="G12" s="201"/>
      <c r="H12" s="201"/>
      <c r="I12" s="202"/>
    </row>
    <row r="13" spans="1:11">
      <c r="D13" s="200">
        <v>3</v>
      </c>
      <c r="E13" s="423">
        <v>487923</v>
      </c>
      <c r="F13" s="423">
        <v>43299</v>
      </c>
      <c r="G13" s="423">
        <v>15107</v>
      </c>
      <c r="H13" s="423">
        <v>27514</v>
      </c>
      <c r="I13" s="202">
        <f>(E13/E$30)*0.35+(F13/F$30)*0.35+(G13/G$30)*0.15+(H13/H$30)*0.15</f>
        <v>9.5411204864538871E-2</v>
      </c>
    </row>
    <row r="14" spans="1:11">
      <c r="D14" s="200"/>
      <c r="E14" s="201"/>
      <c r="F14" s="201"/>
      <c r="G14" s="201"/>
      <c r="H14" s="201"/>
      <c r="I14" s="202"/>
    </row>
    <row r="15" spans="1:11">
      <c r="D15" s="200">
        <v>4</v>
      </c>
      <c r="E15" s="423">
        <v>437390</v>
      </c>
      <c r="F15" s="423">
        <v>37482</v>
      </c>
      <c r="G15" s="423">
        <v>18188</v>
      </c>
      <c r="H15" s="423">
        <v>26027</v>
      </c>
      <c r="I15" s="202">
        <f>(E15/E$30)*0.35+(F15/F$30)*0.35+(G15/G$30)*0.15+(H15/H$30)*0.15</f>
        <v>8.7724564136430622E-2</v>
      </c>
    </row>
    <row r="16" spans="1:11">
      <c r="D16" s="200"/>
      <c r="E16" s="201"/>
      <c r="F16" s="201"/>
      <c r="G16" s="201"/>
      <c r="H16" s="201"/>
      <c r="I16" s="202"/>
    </row>
    <row r="17" spans="4:12">
      <c r="D17" s="200">
        <v>5</v>
      </c>
      <c r="E17" s="423">
        <v>401806</v>
      </c>
      <c r="F17" s="423">
        <v>35850</v>
      </c>
      <c r="G17" s="423">
        <v>8611</v>
      </c>
      <c r="H17" s="423">
        <v>21512</v>
      </c>
      <c r="I17" s="202">
        <f>(E17/E$30)*0.35+(F17/F$30)*0.35+(G17/G$30)*0.15+(H17/H$30)*0.15</f>
        <v>7.6039747312736702E-2</v>
      </c>
    </row>
    <row r="18" spans="4:12">
      <c r="D18" s="200"/>
      <c r="E18" s="201"/>
      <c r="F18" s="201"/>
      <c r="G18" s="203"/>
      <c r="H18" s="201"/>
      <c r="I18" s="202"/>
    </row>
    <row r="19" spans="4:12">
      <c r="D19" s="200">
        <v>6</v>
      </c>
      <c r="E19" s="423">
        <v>499133</v>
      </c>
      <c r="F19" s="424">
        <v>45911</v>
      </c>
      <c r="G19" s="425">
        <v>27245</v>
      </c>
      <c r="H19" s="426">
        <v>30129</v>
      </c>
      <c r="I19" s="202">
        <f>(E19/E$30)*0.35+(F19/F$30)*0.35+(G19/G$30)*0.15+(H19/H$30)*0.15</f>
        <v>0.10625694123878218</v>
      </c>
    </row>
    <row r="20" spans="4:12">
      <c r="D20" s="200"/>
      <c r="E20" s="201"/>
      <c r="F20" s="201"/>
      <c r="G20" s="204"/>
      <c r="H20" s="201"/>
      <c r="I20" s="202"/>
    </row>
    <row r="21" spans="4:12">
      <c r="D21" s="200">
        <v>7</v>
      </c>
      <c r="E21" s="423">
        <v>433742</v>
      </c>
      <c r="F21" s="423">
        <v>36751</v>
      </c>
      <c r="G21" s="423">
        <v>28684</v>
      </c>
      <c r="H21" s="423">
        <v>25155</v>
      </c>
      <c r="I21" s="202">
        <f>(E21/E$30)*0.35+(F21/F$30)*0.35+(G21/G$30)*0.15+(H21/H$30)*0.15</f>
        <v>9.1951688429142475E-2</v>
      </c>
    </row>
    <row r="22" spans="4:12">
      <c r="D22" s="200"/>
      <c r="E22" s="201"/>
      <c r="F22" s="201"/>
      <c r="G22" s="201"/>
      <c r="H22" s="201"/>
      <c r="I22" s="202"/>
    </row>
    <row r="23" spans="4:12">
      <c r="D23" s="200">
        <v>8</v>
      </c>
      <c r="E23" s="423">
        <v>552009</v>
      </c>
      <c r="F23" s="423">
        <v>38204</v>
      </c>
      <c r="G23" s="423">
        <v>10697</v>
      </c>
      <c r="H23" s="423">
        <v>23968</v>
      </c>
      <c r="I23" s="202">
        <f>(E23/E$30)*0.35+(F23/F$30)*0.35+(G23/G$30)*0.15+(H23/H$30)*0.15</f>
        <v>9.2045942412070245E-2</v>
      </c>
    </row>
    <row r="24" spans="4:12">
      <c r="D24" s="200"/>
      <c r="E24" s="201"/>
      <c r="F24" s="201"/>
      <c r="G24" s="201"/>
      <c r="H24" s="201"/>
      <c r="I24" s="202"/>
    </row>
    <row r="25" spans="4:12">
      <c r="D25" s="200">
        <v>9</v>
      </c>
      <c r="E25" s="423">
        <v>553604</v>
      </c>
      <c r="F25" s="423">
        <v>43294</v>
      </c>
      <c r="G25" s="423">
        <v>20572</v>
      </c>
      <c r="H25" s="423">
        <v>27135</v>
      </c>
      <c r="I25" s="202">
        <f>(E25/E$30)*0.35+(F25/F$30)*0.35+(G25/G$30)*0.15+(H25/H$30)*0.15</f>
        <v>0.10319678208205015</v>
      </c>
    </row>
    <row r="26" spans="4:12">
      <c r="D26" s="200"/>
      <c r="E26" s="201"/>
      <c r="F26" s="201"/>
      <c r="G26" s="201"/>
      <c r="H26" s="201"/>
      <c r="I26" s="202"/>
    </row>
    <row r="27" spans="4:12">
      <c r="D27" s="200">
        <v>10</v>
      </c>
      <c r="E27" s="423">
        <v>345071</v>
      </c>
      <c r="F27" s="423">
        <v>39223</v>
      </c>
      <c r="G27" s="423">
        <v>25821</v>
      </c>
      <c r="H27" s="423">
        <v>22371</v>
      </c>
      <c r="I27" s="202">
        <f>(E27/E$30)*0.35+(F27/F$30)*0.35+(G27/G$30)*0.15+(H27/H$30)*0.15</f>
        <v>8.3906939971706562E-2</v>
      </c>
    </row>
    <row r="28" spans="4:12">
      <c r="D28" s="200"/>
      <c r="E28" s="201"/>
      <c r="F28" s="201"/>
      <c r="G28" s="201"/>
      <c r="H28" s="201"/>
      <c r="I28" s="202"/>
    </row>
    <row r="29" spans="4:12">
      <c r="D29" s="200">
        <v>11</v>
      </c>
      <c r="E29" s="423">
        <v>506522</v>
      </c>
      <c r="F29" s="423">
        <v>98626</v>
      </c>
      <c r="G29" s="423">
        <v>112678</v>
      </c>
      <c r="H29" s="423">
        <v>39965</v>
      </c>
      <c r="I29" s="257">
        <f>(E29/E$30)*0.35+(F29/F$30)*0.35+(G29/G$30)*0.15+(H29/H$30)*0.15</f>
        <v>0.19909437092396759</v>
      </c>
    </row>
    <row r="30" spans="4:12" ht="13.5" thickBot="1">
      <c r="D30" s="205" t="s">
        <v>72</v>
      </c>
      <c r="E30" s="206">
        <f>SUM(E9:E29)</f>
        <v>4507216</v>
      </c>
      <c r="F30" s="206">
        <f>SUM(F9:F29)</f>
        <v>446653</v>
      </c>
      <c r="G30" s="206">
        <f>SUM(G9:G29)</f>
        <v>282324</v>
      </c>
      <c r="H30" s="256">
        <f>SUM(H9:H29)</f>
        <v>265125</v>
      </c>
      <c r="I30" s="258"/>
    </row>
    <row r="32" spans="4:12" ht="12.75" customHeight="1">
      <c r="D32" s="455" t="s">
        <v>287</v>
      </c>
      <c r="E32" s="455"/>
      <c r="F32" s="455"/>
      <c r="G32" s="455"/>
      <c r="H32" s="455"/>
      <c r="I32" s="455"/>
      <c r="J32" s="455"/>
      <c r="K32" s="455"/>
      <c r="L32" s="455"/>
    </row>
    <row r="33" spans="4:12">
      <c r="D33" s="455"/>
      <c r="E33" s="455"/>
      <c r="F33" s="455"/>
      <c r="G33" s="455"/>
      <c r="H33" s="455"/>
      <c r="I33" s="455"/>
      <c r="J33" s="455"/>
      <c r="K33" s="455"/>
      <c r="L33" s="455"/>
    </row>
    <row r="34" spans="4:12" ht="7.5" customHeight="1">
      <c r="D34" s="455"/>
      <c r="E34" s="455"/>
      <c r="F34" s="455"/>
      <c r="G34" s="455"/>
      <c r="H34" s="455"/>
      <c r="I34" s="455"/>
      <c r="J34" s="455"/>
      <c r="K34" s="455"/>
      <c r="L34" s="455"/>
    </row>
    <row r="35" spans="4:12" ht="12.75" hidden="1" customHeight="1">
      <c r="D35" s="455"/>
      <c r="E35" s="455"/>
      <c r="F35" s="455"/>
      <c r="G35" s="455"/>
      <c r="H35" s="455"/>
      <c r="I35" s="455"/>
      <c r="J35" s="455"/>
      <c r="K35" s="455"/>
      <c r="L35" s="455"/>
    </row>
    <row r="36" spans="4:12">
      <c r="D36" s="455"/>
      <c r="E36" s="455"/>
      <c r="F36" s="455"/>
      <c r="G36" s="455"/>
      <c r="H36" s="455"/>
      <c r="I36" s="455"/>
      <c r="J36" s="455"/>
      <c r="K36" s="455"/>
      <c r="L36" s="455"/>
    </row>
    <row r="37" spans="4:12">
      <c r="D37" s="455"/>
      <c r="E37" s="455"/>
      <c r="F37" s="455"/>
      <c r="G37" s="455"/>
      <c r="H37" s="455"/>
      <c r="I37" s="455"/>
      <c r="J37" s="455"/>
      <c r="K37" s="455"/>
      <c r="L37" s="455"/>
    </row>
    <row r="38" spans="4:12">
      <c r="D38" s="455"/>
      <c r="E38" s="455"/>
      <c r="F38" s="455"/>
      <c r="G38" s="455"/>
      <c r="H38" s="455"/>
      <c r="I38" s="455"/>
      <c r="J38" s="455"/>
      <c r="K38" s="455"/>
      <c r="L38" s="455"/>
    </row>
    <row r="39" spans="4:12">
      <c r="D39" s="455"/>
      <c r="E39" s="455"/>
      <c r="F39" s="455"/>
      <c r="G39" s="455"/>
      <c r="H39" s="455"/>
      <c r="I39" s="455"/>
      <c r="J39" s="455"/>
      <c r="K39" s="455"/>
      <c r="L39" s="455"/>
    </row>
    <row r="40" spans="4:12">
      <c r="D40" s="455"/>
      <c r="E40" s="455"/>
      <c r="F40" s="455"/>
      <c r="G40" s="455"/>
      <c r="H40" s="455"/>
      <c r="I40" s="455"/>
      <c r="J40" s="455"/>
      <c r="K40" s="455"/>
      <c r="L40" s="455"/>
    </row>
    <row r="41" spans="4:12">
      <c r="D41" s="455"/>
      <c r="E41" s="455"/>
      <c r="F41" s="455"/>
      <c r="G41" s="455"/>
      <c r="H41" s="455"/>
      <c r="I41" s="455"/>
      <c r="J41" s="455"/>
      <c r="K41" s="455"/>
      <c r="L41" s="455"/>
    </row>
    <row r="42" spans="4:12">
      <c r="D42" s="455"/>
      <c r="E42" s="455"/>
      <c r="F42" s="455"/>
      <c r="G42" s="455"/>
      <c r="H42" s="455"/>
      <c r="I42" s="455"/>
      <c r="J42" s="455"/>
      <c r="K42" s="455"/>
      <c r="L42" s="455"/>
    </row>
    <row r="43" spans="4:12">
      <c r="D43" s="455"/>
      <c r="E43" s="455"/>
      <c r="F43" s="455"/>
      <c r="G43" s="455"/>
      <c r="H43" s="455"/>
      <c r="I43" s="455"/>
      <c r="J43" s="455"/>
      <c r="K43" s="455"/>
      <c r="L43" s="455"/>
    </row>
    <row r="44" spans="4:12">
      <c r="D44" s="455"/>
      <c r="E44" s="455"/>
      <c r="F44" s="455"/>
      <c r="G44" s="455"/>
      <c r="H44" s="455"/>
      <c r="I44" s="455"/>
      <c r="J44" s="455"/>
      <c r="K44" s="455"/>
      <c r="L44" s="455"/>
    </row>
    <row r="45" spans="4:12">
      <c r="D45" s="455"/>
      <c r="E45" s="455"/>
      <c r="F45" s="455"/>
      <c r="G45" s="455"/>
      <c r="H45" s="455"/>
      <c r="I45" s="455"/>
      <c r="J45" s="455"/>
      <c r="K45" s="455"/>
      <c r="L45" s="455"/>
    </row>
    <row r="46" spans="4:12">
      <c r="D46" s="455"/>
      <c r="E46" s="455"/>
      <c r="F46" s="455"/>
      <c r="G46" s="455"/>
      <c r="H46" s="455"/>
      <c r="I46" s="455"/>
      <c r="J46" s="455"/>
      <c r="K46" s="455"/>
      <c r="L46" s="455"/>
    </row>
    <row r="47" spans="4:12">
      <c r="D47" s="455"/>
      <c r="E47" s="455"/>
      <c r="F47" s="455"/>
      <c r="G47" s="455"/>
      <c r="H47" s="455"/>
      <c r="I47" s="455"/>
      <c r="J47" s="455"/>
      <c r="K47" s="455"/>
      <c r="L47" s="455"/>
    </row>
    <row r="48" spans="4:12">
      <c r="D48" s="455"/>
      <c r="E48" s="455"/>
      <c r="F48" s="455"/>
      <c r="G48" s="455"/>
      <c r="H48" s="455"/>
      <c r="I48" s="455"/>
      <c r="J48" s="455"/>
      <c r="K48" s="455"/>
      <c r="L48" s="455"/>
    </row>
  </sheetData>
  <mergeCells count="7">
    <mergeCell ref="D32:L48"/>
    <mergeCell ref="H5:H8"/>
    <mergeCell ref="I5:I8"/>
    <mergeCell ref="D5:D8"/>
    <mergeCell ref="E5:E8"/>
    <mergeCell ref="F5:F8"/>
    <mergeCell ref="G5:G8"/>
  </mergeCells>
  <phoneticPr fontId="4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CH82"/>
  <sheetViews>
    <sheetView workbookViewId="0">
      <selection activeCell="G1" sqref="G1:J1048576"/>
    </sheetView>
  </sheetViews>
  <sheetFormatPr defaultRowHeight="14.25"/>
  <cols>
    <col min="1" max="1" width="7.44140625" style="223" customWidth="1"/>
    <col min="2" max="2" width="10.21875" style="223" customWidth="1"/>
    <col min="3" max="3" width="8.6640625" style="223" bestFit="1" customWidth="1"/>
    <col min="4" max="5" width="10" style="223" customWidth="1"/>
    <col min="6" max="6" width="10.6640625" style="223" customWidth="1"/>
    <col min="7" max="7" width="11.5546875" style="222" customWidth="1"/>
    <col min="8" max="8" width="9.88671875" style="222" customWidth="1"/>
    <col min="9" max="9" width="8.88671875" style="222" customWidth="1"/>
    <col min="10" max="10" width="11.44140625" style="222" customWidth="1"/>
    <col min="11" max="11" width="2.6640625" style="222" customWidth="1"/>
    <col min="12" max="86" width="8.88671875" style="222"/>
    <col min="87" max="16384" width="8.88671875" style="223"/>
  </cols>
  <sheetData>
    <row r="1" spans="1:86" ht="15">
      <c r="A1" s="462" t="s">
        <v>289</v>
      </c>
      <c r="B1" s="462"/>
      <c r="C1" s="462"/>
      <c r="D1" s="462"/>
      <c r="E1" s="462"/>
      <c r="F1" s="462"/>
    </row>
    <row r="2" spans="1:86" ht="15">
      <c r="A2" s="463" t="s">
        <v>290</v>
      </c>
      <c r="B2" s="463"/>
      <c r="C2" s="463"/>
      <c r="D2" s="463"/>
      <c r="E2" s="463"/>
      <c r="F2" s="463"/>
      <c r="G2" s="464" t="s">
        <v>216</v>
      </c>
      <c r="H2" s="464"/>
      <c r="I2" s="464"/>
      <c r="J2" s="464"/>
    </row>
    <row r="3" spans="1:86" s="230" customFormat="1" ht="122.25" customHeight="1" thickBot="1">
      <c r="A3" s="224" t="s">
        <v>64</v>
      </c>
      <c r="B3" s="225" t="s">
        <v>134</v>
      </c>
      <c r="C3" s="226" t="s">
        <v>18</v>
      </c>
      <c r="D3" s="227" t="s">
        <v>135</v>
      </c>
      <c r="E3" s="227" t="s">
        <v>136</v>
      </c>
      <c r="F3" s="228" t="s">
        <v>291</v>
      </c>
      <c r="G3" s="226" t="s">
        <v>18</v>
      </c>
      <c r="H3" s="227" t="s">
        <v>135</v>
      </c>
      <c r="I3" s="227" t="s">
        <v>136</v>
      </c>
      <c r="J3" s="228" t="s">
        <v>292</v>
      </c>
      <c r="K3" s="229"/>
      <c r="L3" s="465" t="s">
        <v>293</v>
      </c>
      <c r="M3" s="465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29"/>
      <c r="AM3" s="229"/>
      <c r="AN3" s="229"/>
      <c r="AO3" s="229"/>
      <c r="AP3" s="229"/>
      <c r="AQ3" s="229"/>
      <c r="AR3" s="229"/>
      <c r="AS3" s="229"/>
      <c r="AT3" s="229"/>
      <c r="AU3" s="229"/>
      <c r="AV3" s="229"/>
      <c r="AW3" s="229"/>
      <c r="AX3" s="229"/>
      <c r="AY3" s="229"/>
      <c r="AZ3" s="229"/>
      <c r="BA3" s="229"/>
      <c r="BB3" s="229"/>
      <c r="BC3" s="229"/>
      <c r="BD3" s="229"/>
      <c r="BE3" s="229"/>
      <c r="BF3" s="229"/>
      <c r="BG3" s="229"/>
      <c r="BH3" s="229"/>
      <c r="BI3" s="229"/>
      <c r="BJ3" s="229"/>
      <c r="BK3" s="229"/>
      <c r="BL3" s="229"/>
      <c r="BM3" s="229"/>
      <c r="BN3" s="229"/>
      <c r="BO3" s="229"/>
      <c r="BP3" s="229"/>
      <c r="BQ3" s="229"/>
      <c r="BR3" s="229"/>
      <c r="BS3" s="229"/>
      <c r="BT3" s="229"/>
      <c r="BU3" s="229"/>
      <c r="BV3" s="229"/>
      <c r="BW3" s="229"/>
      <c r="BX3" s="229"/>
      <c r="BY3" s="229"/>
      <c r="BZ3" s="229"/>
      <c r="CA3" s="229"/>
      <c r="CB3" s="229"/>
      <c r="CC3" s="229"/>
      <c r="CD3" s="229"/>
      <c r="CE3" s="229"/>
      <c r="CF3" s="229"/>
      <c r="CG3" s="229"/>
      <c r="CH3" s="229"/>
    </row>
    <row r="4" spans="1:86" s="230" customFormat="1" ht="15" customHeight="1" thickBot="1">
      <c r="A4" s="231" t="s">
        <v>137</v>
      </c>
      <c r="B4" s="232"/>
      <c r="C4" s="233">
        <f>SUM(C9,C24,C41,C49,C52,C58,C63,C71,C77,C79,C82)</f>
        <v>4507216</v>
      </c>
      <c r="D4" s="233">
        <f>SUM(D9,D24,D41,D49,D52,D58,D63,D71,D77,D79,D82)</f>
        <v>446652.33016465441</v>
      </c>
      <c r="E4" s="233">
        <f t="shared" ref="E4:J4" si="0">SUM(E9,E24,E41,E49,E52,E58,E63,E71,E77,E79,E82)</f>
        <v>282323.03180187196</v>
      </c>
      <c r="F4" s="233">
        <v>265126.74811583047</v>
      </c>
      <c r="G4" s="233">
        <f t="shared" si="0"/>
        <v>4507216</v>
      </c>
      <c r="H4" s="233">
        <f t="shared" si="0"/>
        <v>446653</v>
      </c>
      <c r="I4" s="233">
        <f t="shared" si="0"/>
        <v>282324</v>
      </c>
      <c r="J4" s="233">
        <f t="shared" si="0"/>
        <v>265125</v>
      </c>
      <c r="K4" s="229"/>
      <c r="L4" s="455" t="s">
        <v>287</v>
      </c>
      <c r="M4" s="455"/>
      <c r="N4" s="455"/>
      <c r="O4" s="455"/>
      <c r="P4" s="455"/>
      <c r="Q4" s="455"/>
      <c r="R4" s="455"/>
      <c r="S4" s="455"/>
      <c r="T4" s="455"/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229"/>
      <c r="AK4" s="229"/>
      <c r="AL4" s="229"/>
      <c r="AM4" s="229"/>
      <c r="AN4" s="229"/>
      <c r="AO4" s="229"/>
      <c r="AP4" s="229"/>
      <c r="AQ4" s="229"/>
      <c r="AR4" s="229"/>
      <c r="AS4" s="229"/>
      <c r="AT4" s="229"/>
      <c r="AU4" s="229"/>
      <c r="AV4" s="229"/>
      <c r="AW4" s="229"/>
      <c r="AX4" s="229"/>
      <c r="AY4" s="229"/>
      <c r="AZ4" s="229"/>
      <c r="BA4" s="229"/>
      <c r="BB4" s="229"/>
      <c r="BC4" s="229"/>
      <c r="BD4" s="229"/>
      <c r="BE4" s="229"/>
      <c r="BF4" s="229"/>
      <c r="BG4" s="229"/>
      <c r="BH4" s="229"/>
      <c r="BI4" s="229"/>
      <c r="BJ4" s="229"/>
      <c r="BK4" s="229"/>
      <c r="BL4" s="229"/>
      <c r="BM4" s="229"/>
      <c r="BN4" s="229"/>
      <c r="BO4" s="229"/>
      <c r="BP4" s="229"/>
      <c r="BQ4" s="229"/>
      <c r="BR4" s="229"/>
      <c r="BS4" s="229"/>
      <c r="BT4" s="229"/>
      <c r="BU4" s="229"/>
      <c r="BV4" s="229"/>
      <c r="BW4" s="229"/>
      <c r="BX4" s="229"/>
      <c r="BY4" s="229"/>
      <c r="BZ4" s="229"/>
      <c r="CA4" s="229"/>
      <c r="CB4" s="229"/>
      <c r="CC4" s="229"/>
      <c r="CD4" s="229"/>
      <c r="CE4" s="229"/>
      <c r="CF4" s="229"/>
      <c r="CG4" s="229"/>
      <c r="CH4" s="229"/>
    </row>
    <row r="5" spans="1:86" ht="15">
      <c r="A5" s="428">
        <v>1</v>
      </c>
      <c r="B5" s="234" t="s">
        <v>138</v>
      </c>
      <c r="C5" s="235">
        <v>65357</v>
      </c>
      <c r="D5" s="236">
        <v>6210.4663718345519</v>
      </c>
      <c r="E5" s="237">
        <v>3888.968710888611</v>
      </c>
      <c r="F5" s="238">
        <v>5316.5122310398428</v>
      </c>
      <c r="G5" s="255">
        <f>ROUND(C5,0)</f>
        <v>65357</v>
      </c>
      <c r="H5" s="255">
        <f>ROUND(D5,0)</f>
        <v>6210</v>
      </c>
      <c r="I5" s="255">
        <f>ROUND(E5,0)</f>
        <v>3889</v>
      </c>
      <c r="J5" s="255">
        <f>ROUND(F5,0)</f>
        <v>5317</v>
      </c>
      <c r="L5" s="455"/>
      <c r="M5" s="455"/>
      <c r="N5" s="455"/>
      <c r="O5" s="455"/>
      <c r="P5" s="455"/>
      <c r="Q5" s="455"/>
      <c r="R5" s="455"/>
      <c r="S5" s="455"/>
      <c r="T5" s="455"/>
    </row>
    <row r="6" spans="1:86" ht="15">
      <c r="A6" s="429">
        <v>1</v>
      </c>
      <c r="B6" s="239" t="s">
        <v>139</v>
      </c>
      <c r="C6" s="240">
        <v>41012</v>
      </c>
      <c r="D6" s="237">
        <v>2613.8529692014772</v>
      </c>
      <c r="E6" s="237">
        <v>736.1277033985582</v>
      </c>
      <c r="F6" s="241">
        <v>2231.7875082449641</v>
      </c>
      <c r="G6" s="255">
        <f t="shared" ref="G6:J37" si="1">ROUND(C6,0)</f>
        <v>41012</v>
      </c>
      <c r="H6" s="255">
        <f t="shared" si="1"/>
        <v>2614</v>
      </c>
      <c r="I6" s="255">
        <f t="shared" si="1"/>
        <v>736</v>
      </c>
      <c r="J6" s="255">
        <f t="shared" si="1"/>
        <v>2232</v>
      </c>
      <c r="L6" s="455"/>
      <c r="M6" s="455"/>
      <c r="N6" s="455"/>
      <c r="O6" s="455"/>
      <c r="P6" s="455"/>
      <c r="Q6" s="455"/>
      <c r="R6" s="455"/>
      <c r="S6" s="455"/>
      <c r="T6" s="455"/>
    </row>
    <row r="7" spans="1:86" ht="15">
      <c r="A7" s="429">
        <v>1</v>
      </c>
      <c r="B7" s="239" t="s">
        <v>140</v>
      </c>
      <c r="C7" s="240">
        <v>27886</v>
      </c>
      <c r="D7" s="237">
        <v>2013.2070502634995</v>
      </c>
      <c r="E7" s="242">
        <v>590.76923076923083</v>
      </c>
      <c r="F7" s="241">
        <v>1680.4634377967711</v>
      </c>
      <c r="G7" s="255">
        <f t="shared" si="1"/>
        <v>27886</v>
      </c>
      <c r="H7" s="255">
        <f t="shared" si="1"/>
        <v>2013</v>
      </c>
      <c r="I7" s="255">
        <f t="shared" si="1"/>
        <v>591</v>
      </c>
      <c r="J7" s="255">
        <f t="shared" si="1"/>
        <v>1680</v>
      </c>
      <c r="L7" s="455"/>
      <c r="M7" s="455"/>
      <c r="N7" s="455"/>
      <c r="O7" s="455"/>
      <c r="P7" s="455"/>
      <c r="Q7" s="455"/>
      <c r="R7" s="455"/>
      <c r="S7" s="455"/>
      <c r="T7" s="455"/>
    </row>
    <row r="8" spans="1:86" ht="15.75" thickBot="1">
      <c r="A8" s="430">
        <v>1</v>
      </c>
      <c r="B8" s="243" t="s">
        <v>141</v>
      </c>
      <c r="C8" s="244">
        <v>14976</v>
      </c>
      <c r="D8" s="245">
        <v>1441.1683012526378</v>
      </c>
      <c r="E8" s="237">
        <v>339.09333333333336</v>
      </c>
      <c r="F8" s="246">
        <v>1181.9047231270358</v>
      </c>
      <c r="G8" s="255">
        <f t="shared" si="1"/>
        <v>14976</v>
      </c>
      <c r="H8" s="255">
        <f t="shared" si="1"/>
        <v>1441</v>
      </c>
      <c r="I8" s="255">
        <f t="shared" si="1"/>
        <v>339</v>
      </c>
      <c r="J8" s="255">
        <f t="shared" si="1"/>
        <v>1182</v>
      </c>
      <c r="L8" s="455"/>
      <c r="M8" s="455"/>
      <c r="N8" s="455"/>
      <c r="O8" s="455"/>
      <c r="P8" s="455"/>
      <c r="Q8" s="455"/>
      <c r="R8" s="455"/>
      <c r="S8" s="455"/>
      <c r="T8" s="455"/>
    </row>
    <row r="9" spans="1:86" ht="15.75" thickBot="1">
      <c r="A9" s="431" t="s">
        <v>142</v>
      </c>
      <c r="B9" s="232"/>
      <c r="C9" s="247">
        <v>149231</v>
      </c>
      <c r="D9" s="247">
        <v>12278.694692552166</v>
      </c>
      <c r="E9" s="247">
        <v>5554.9589783897327</v>
      </c>
      <c r="F9" s="248">
        <v>10410.667900208613</v>
      </c>
      <c r="G9" s="255">
        <f t="shared" si="1"/>
        <v>149231</v>
      </c>
      <c r="H9" s="255">
        <f t="shared" si="1"/>
        <v>12279</v>
      </c>
      <c r="I9" s="255">
        <f t="shared" si="1"/>
        <v>5555</v>
      </c>
      <c r="J9" s="255">
        <f t="shared" si="1"/>
        <v>10411</v>
      </c>
      <c r="L9" s="455"/>
      <c r="M9" s="455"/>
      <c r="N9" s="455"/>
      <c r="O9" s="455"/>
      <c r="P9" s="455"/>
      <c r="Q9" s="455"/>
      <c r="R9" s="455"/>
      <c r="S9" s="455"/>
      <c r="T9" s="455"/>
    </row>
    <row r="10" spans="1:86" ht="15">
      <c r="A10" s="428">
        <v>2</v>
      </c>
      <c r="B10" s="234" t="s">
        <v>143</v>
      </c>
      <c r="C10" s="235">
        <v>39157</v>
      </c>
      <c r="D10" s="236">
        <v>3284.323479885441</v>
      </c>
      <c r="E10" s="237">
        <v>1460.7998731366952</v>
      </c>
      <c r="F10" s="238">
        <v>2650.2443029314245</v>
      </c>
      <c r="G10" s="255">
        <f t="shared" si="1"/>
        <v>39157</v>
      </c>
      <c r="H10" s="255">
        <f t="shared" si="1"/>
        <v>3284</v>
      </c>
      <c r="I10" s="255">
        <f t="shared" si="1"/>
        <v>1461</v>
      </c>
      <c r="J10" s="255">
        <f t="shared" si="1"/>
        <v>2650</v>
      </c>
      <c r="L10" s="455"/>
      <c r="M10" s="455"/>
      <c r="N10" s="455"/>
      <c r="O10" s="455"/>
      <c r="P10" s="455"/>
      <c r="Q10" s="455"/>
      <c r="R10" s="455"/>
      <c r="S10" s="455"/>
      <c r="T10" s="455"/>
    </row>
    <row r="11" spans="1:86" ht="15">
      <c r="A11" s="429">
        <v>2</v>
      </c>
      <c r="B11" s="239" t="s">
        <v>144</v>
      </c>
      <c r="C11" s="240">
        <v>3018</v>
      </c>
      <c r="D11" s="237">
        <v>327.089942126587</v>
      </c>
      <c r="E11" s="237">
        <v>161.92000000000002</v>
      </c>
      <c r="F11" s="241">
        <v>367.91708542713565</v>
      </c>
      <c r="G11" s="255">
        <f t="shared" si="1"/>
        <v>3018</v>
      </c>
      <c r="H11" s="255">
        <f t="shared" si="1"/>
        <v>327</v>
      </c>
      <c r="I11" s="255">
        <f t="shared" si="1"/>
        <v>162</v>
      </c>
      <c r="J11" s="255">
        <f t="shared" si="1"/>
        <v>368</v>
      </c>
      <c r="L11" s="455"/>
      <c r="M11" s="455"/>
      <c r="N11" s="455"/>
      <c r="O11" s="455"/>
      <c r="P11" s="455"/>
      <c r="Q11" s="455"/>
      <c r="R11" s="455"/>
      <c r="S11" s="455"/>
      <c r="T11" s="455"/>
    </row>
    <row r="12" spans="1:86" ht="15">
      <c r="A12" s="429">
        <v>2</v>
      </c>
      <c r="B12" s="239" t="s">
        <v>145</v>
      </c>
      <c r="C12" s="240">
        <v>3320</v>
      </c>
      <c r="D12" s="237">
        <v>470.13223911466469</v>
      </c>
      <c r="E12" s="237">
        <v>91.769911504424769</v>
      </c>
      <c r="F12" s="241">
        <v>276.41661500309982</v>
      </c>
      <c r="G12" s="255">
        <f t="shared" si="1"/>
        <v>3320</v>
      </c>
      <c r="H12" s="255">
        <f t="shared" si="1"/>
        <v>470</v>
      </c>
      <c r="I12" s="255">
        <f t="shared" si="1"/>
        <v>92</v>
      </c>
      <c r="J12" s="255">
        <f t="shared" si="1"/>
        <v>276</v>
      </c>
      <c r="L12" s="455"/>
      <c r="M12" s="455"/>
      <c r="N12" s="455"/>
      <c r="O12" s="455"/>
      <c r="P12" s="455"/>
      <c r="Q12" s="455"/>
      <c r="R12" s="455"/>
      <c r="S12" s="455"/>
      <c r="T12" s="455"/>
    </row>
    <row r="13" spans="1:86" ht="15">
      <c r="A13" s="429">
        <v>2</v>
      </c>
      <c r="B13" s="239" t="s">
        <v>146</v>
      </c>
      <c r="C13" s="240">
        <v>10033</v>
      </c>
      <c r="D13" s="237">
        <v>1570.1762356196214</v>
      </c>
      <c r="E13" s="237">
        <v>1736.2494421026531</v>
      </c>
      <c r="F13" s="241">
        <v>795.52291510142754</v>
      </c>
      <c r="G13" s="255">
        <f t="shared" si="1"/>
        <v>10033</v>
      </c>
      <c r="H13" s="255">
        <f t="shared" si="1"/>
        <v>1570</v>
      </c>
      <c r="I13" s="255">
        <f t="shared" si="1"/>
        <v>1736</v>
      </c>
      <c r="J13" s="255">
        <f t="shared" si="1"/>
        <v>796</v>
      </c>
      <c r="L13" s="455"/>
      <c r="M13" s="455"/>
      <c r="N13" s="455"/>
      <c r="O13" s="455"/>
      <c r="P13" s="455"/>
      <c r="Q13" s="455"/>
      <c r="R13" s="455"/>
      <c r="S13" s="455"/>
      <c r="T13" s="455"/>
    </row>
    <row r="14" spans="1:86" ht="15">
      <c r="A14" s="429">
        <v>2</v>
      </c>
      <c r="B14" s="239" t="s">
        <v>147</v>
      </c>
      <c r="C14" s="240">
        <v>3951</v>
      </c>
      <c r="D14" s="237">
        <v>427.27388783697569</v>
      </c>
      <c r="E14" s="237">
        <v>161.00480769230768</v>
      </c>
      <c r="F14" s="241">
        <v>304.20142857142855</v>
      </c>
      <c r="G14" s="255">
        <f t="shared" si="1"/>
        <v>3951</v>
      </c>
      <c r="H14" s="255">
        <f t="shared" si="1"/>
        <v>427</v>
      </c>
      <c r="I14" s="255">
        <f t="shared" si="1"/>
        <v>161</v>
      </c>
      <c r="J14" s="255">
        <f t="shared" si="1"/>
        <v>304</v>
      </c>
      <c r="L14" s="455"/>
      <c r="M14" s="455"/>
      <c r="N14" s="455"/>
      <c r="O14" s="455"/>
      <c r="P14" s="455"/>
      <c r="Q14" s="455"/>
      <c r="R14" s="455"/>
      <c r="S14" s="455"/>
      <c r="T14" s="455"/>
    </row>
    <row r="15" spans="1:86" ht="15">
      <c r="A15" s="429">
        <v>2</v>
      </c>
      <c r="B15" s="239" t="s">
        <v>148</v>
      </c>
      <c r="C15" s="240">
        <v>4578</v>
      </c>
      <c r="D15" s="237">
        <v>612.5585403562178</v>
      </c>
      <c r="E15" s="237">
        <v>77.368421052631575</v>
      </c>
      <c r="F15" s="241">
        <v>365.2980286045613</v>
      </c>
      <c r="G15" s="255">
        <f t="shared" si="1"/>
        <v>4578</v>
      </c>
      <c r="H15" s="255">
        <f t="shared" si="1"/>
        <v>613</v>
      </c>
      <c r="I15" s="255">
        <f t="shared" si="1"/>
        <v>77</v>
      </c>
      <c r="J15" s="255">
        <f t="shared" si="1"/>
        <v>365</v>
      </c>
      <c r="L15" s="455"/>
      <c r="M15" s="455"/>
      <c r="N15" s="455"/>
      <c r="O15" s="455"/>
      <c r="P15" s="455"/>
      <c r="Q15" s="455"/>
      <c r="R15" s="455"/>
      <c r="S15" s="455"/>
      <c r="T15" s="455"/>
    </row>
    <row r="16" spans="1:86" ht="15">
      <c r="A16" s="429">
        <v>2</v>
      </c>
      <c r="B16" s="239" t="s">
        <v>149</v>
      </c>
      <c r="C16" s="240">
        <v>11856</v>
      </c>
      <c r="D16" s="237">
        <v>2790.2714926679546</v>
      </c>
      <c r="E16" s="237">
        <v>1046.9728014505893</v>
      </c>
      <c r="F16" s="241">
        <v>1254.4966826107084</v>
      </c>
      <c r="G16" s="255">
        <f t="shared" si="1"/>
        <v>11856</v>
      </c>
      <c r="H16" s="255">
        <f t="shared" si="1"/>
        <v>2790</v>
      </c>
      <c r="I16" s="255">
        <f t="shared" si="1"/>
        <v>1047</v>
      </c>
      <c r="J16" s="255">
        <f t="shared" si="1"/>
        <v>1254</v>
      </c>
      <c r="L16" s="455"/>
      <c r="M16" s="455"/>
      <c r="N16" s="455"/>
      <c r="O16" s="455"/>
      <c r="P16" s="455"/>
      <c r="Q16" s="455"/>
      <c r="R16" s="455"/>
      <c r="S16" s="455"/>
      <c r="T16" s="455"/>
    </row>
    <row r="17" spans="1:20" ht="15">
      <c r="A17" s="429">
        <v>2</v>
      </c>
      <c r="B17" s="239" t="s">
        <v>150</v>
      </c>
      <c r="C17" s="240">
        <v>3482</v>
      </c>
      <c r="D17" s="237">
        <v>640.88070543238371</v>
      </c>
      <c r="E17" s="237">
        <v>394.61809635722676</v>
      </c>
      <c r="F17" s="241">
        <v>454.20137693631671</v>
      </c>
      <c r="G17" s="255">
        <f t="shared" si="1"/>
        <v>3482</v>
      </c>
      <c r="H17" s="255">
        <f t="shared" si="1"/>
        <v>641</v>
      </c>
      <c r="I17" s="255">
        <f t="shared" si="1"/>
        <v>395</v>
      </c>
      <c r="J17" s="255">
        <f t="shared" si="1"/>
        <v>454</v>
      </c>
      <c r="L17" s="455"/>
      <c r="M17" s="455"/>
      <c r="N17" s="455"/>
      <c r="O17" s="455"/>
      <c r="P17" s="455"/>
      <c r="Q17" s="455"/>
      <c r="R17" s="455"/>
      <c r="S17" s="455"/>
      <c r="T17" s="455"/>
    </row>
    <row r="18" spans="1:20" ht="15">
      <c r="A18" s="429">
        <v>2</v>
      </c>
      <c r="B18" s="239" t="s">
        <v>151</v>
      </c>
      <c r="C18" s="240">
        <v>38664</v>
      </c>
      <c r="D18" s="237">
        <v>2564.7443301835974</v>
      </c>
      <c r="E18" s="237">
        <v>2534.0711842105266</v>
      </c>
      <c r="F18" s="241">
        <v>2517.4643162850421</v>
      </c>
      <c r="G18" s="255">
        <f t="shared" si="1"/>
        <v>38664</v>
      </c>
      <c r="H18" s="255">
        <f t="shared" si="1"/>
        <v>2565</v>
      </c>
      <c r="I18" s="255">
        <f t="shared" si="1"/>
        <v>2534</v>
      </c>
      <c r="J18" s="255">
        <f t="shared" si="1"/>
        <v>2517</v>
      </c>
      <c r="L18" s="455"/>
      <c r="M18" s="455"/>
      <c r="N18" s="455"/>
      <c r="O18" s="455"/>
      <c r="P18" s="455"/>
      <c r="Q18" s="455"/>
      <c r="R18" s="455"/>
      <c r="S18" s="455"/>
      <c r="T18" s="455"/>
    </row>
    <row r="19" spans="1:20" ht="15">
      <c r="A19" s="429">
        <v>2</v>
      </c>
      <c r="B19" s="239" t="s">
        <v>152</v>
      </c>
      <c r="C19" s="240">
        <v>1379</v>
      </c>
      <c r="D19" s="237">
        <v>284.02524809499766</v>
      </c>
      <c r="E19" s="237">
        <v>51.445945945945944</v>
      </c>
      <c r="F19" s="241">
        <v>162.85714285714286</v>
      </c>
      <c r="G19" s="255">
        <f t="shared" si="1"/>
        <v>1379</v>
      </c>
      <c r="H19" s="255">
        <f t="shared" si="1"/>
        <v>284</v>
      </c>
      <c r="I19" s="255">
        <f t="shared" si="1"/>
        <v>51</v>
      </c>
      <c r="J19" s="255">
        <f t="shared" si="1"/>
        <v>163</v>
      </c>
      <c r="L19" s="455"/>
      <c r="M19" s="455"/>
      <c r="N19" s="455"/>
      <c r="O19" s="455"/>
      <c r="P19" s="455"/>
      <c r="Q19" s="455"/>
      <c r="R19" s="455"/>
      <c r="S19" s="455"/>
      <c r="T19" s="455"/>
    </row>
    <row r="20" spans="1:20" ht="15">
      <c r="A20" s="429">
        <v>2</v>
      </c>
      <c r="B20" s="239" t="s">
        <v>153</v>
      </c>
      <c r="C20" s="240">
        <v>4280</v>
      </c>
      <c r="D20" s="237">
        <v>660.24774448878816</v>
      </c>
      <c r="E20" s="237">
        <v>621</v>
      </c>
      <c r="F20" s="241">
        <v>402.29765013054828</v>
      </c>
      <c r="G20" s="255">
        <f t="shared" si="1"/>
        <v>4280</v>
      </c>
      <c r="H20" s="255">
        <f t="shared" si="1"/>
        <v>660</v>
      </c>
      <c r="I20" s="255">
        <f t="shared" si="1"/>
        <v>621</v>
      </c>
      <c r="J20" s="255">
        <f t="shared" si="1"/>
        <v>402</v>
      </c>
      <c r="L20" s="455"/>
      <c r="M20" s="455"/>
      <c r="N20" s="455"/>
      <c r="O20" s="455"/>
      <c r="P20" s="455"/>
      <c r="Q20" s="455"/>
      <c r="R20" s="455"/>
      <c r="S20" s="455"/>
      <c r="T20" s="455"/>
    </row>
    <row r="21" spans="1:20" ht="15">
      <c r="A21" s="429">
        <v>2</v>
      </c>
      <c r="B21" s="239" t="s">
        <v>154</v>
      </c>
      <c r="C21" s="240">
        <v>4869</v>
      </c>
      <c r="D21" s="237">
        <v>734.56045639616127</v>
      </c>
      <c r="E21" s="237">
        <v>385.09550561797749</v>
      </c>
      <c r="F21" s="241">
        <v>407.38793103448279</v>
      </c>
      <c r="G21" s="255">
        <f t="shared" si="1"/>
        <v>4869</v>
      </c>
      <c r="H21" s="255">
        <f t="shared" si="1"/>
        <v>735</v>
      </c>
      <c r="I21" s="255">
        <f t="shared" si="1"/>
        <v>385</v>
      </c>
      <c r="J21" s="255">
        <f t="shared" si="1"/>
        <v>407</v>
      </c>
    </row>
    <row r="22" spans="1:20" ht="15">
      <c r="A22" s="429">
        <v>2</v>
      </c>
      <c r="B22" s="239" t="s">
        <v>155</v>
      </c>
      <c r="C22" s="240">
        <v>6470</v>
      </c>
      <c r="D22" s="237">
        <v>709.02739364611421</v>
      </c>
      <c r="E22" s="237">
        <v>263.57077625570776</v>
      </c>
      <c r="F22" s="241">
        <v>393.1097008159565</v>
      </c>
      <c r="G22" s="255">
        <f t="shared" si="1"/>
        <v>6470</v>
      </c>
      <c r="H22" s="255">
        <f t="shared" si="1"/>
        <v>709</v>
      </c>
      <c r="I22" s="255">
        <f t="shared" si="1"/>
        <v>264</v>
      </c>
      <c r="J22" s="255">
        <f t="shared" si="1"/>
        <v>393</v>
      </c>
    </row>
    <row r="23" spans="1:20" ht="15.75" thickBot="1">
      <c r="A23" s="430">
        <v>2</v>
      </c>
      <c r="B23" s="243" t="s">
        <v>156</v>
      </c>
      <c r="C23" s="244">
        <v>5728</v>
      </c>
      <c r="D23" s="245">
        <v>658.81217133037251</v>
      </c>
      <c r="E23" s="237">
        <v>179.80219780219781</v>
      </c>
      <c r="F23" s="246">
        <v>586.91073219658983</v>
      </c>
      <c r="G23" s="255">
        <f t="shared" si="1"/>
        <v>5728</v>
      </c>
      <c r="H23" s="255">
        <f t="shared" si="1"/>
        <v>659</v>
      </c>
      <c r="I23" s="255">
        <f t="shared" si="1"/>
        <v>180</v>
      </c>
      <c r="J23" s="255">
        <f t="shared" si="1"/>
        <v>587</v>
      </c>
    </row>
    <row r="24" spans="1:20" ht="15.75" thickBot="1">
      <c r="A24" s="432" t="s">
        <v>157</v>
      </c>
      <c r="B24" s="232"/>
      <c r="C24" s="247">
        <v>140785</v>
      </c>
      <c r="D24" s="247">
        <v>15734.123867179878</v>
      </c>
      <c r="E24" s="247">
        <v>9165.688963128885</v>
      </c>
      <c r="F24" s="248">
        <v>10938.325908505863</v>
      </c>
      <c r="G24" s="255">
        <f t="shared" si="1"/>
        <v>140785</v>
      </c>
      <c r="H24" s="255">
        <f t="shared" si="1"/>
        <v>15734</v>
      </c>
      <c r="I24" s="255">
        <f t="shared" si="1"/>
        <v>9166</v>
      </c>
      <c r="J24" s="255">
        <f t="shared" si="1"/>
        <v>10938</v>
      </c>
    </row>
    <row r="25" spans="1:20" ht="15">
      <c r="A25" s="428">
        <v>3</v>
      </c>
      <c r="B25" s="234" t="s">
        <v>158</v>
      </c>
      <c r="C25" s="235">
        <v>39550</v>
      </c>
      <c r="D25" s="236">
        <v>3290.5441044390263</v>
      </c>
      <c r="E25" s="236">
        <v>2661.2376942064761</v>
      </c>
      <c r="F25" s="238">
        <v>2630.5047872865462</v>
      </c>
      <c r="G25" s="255">
        <f t="shared" si="1"/>
        <v>39550</v>
      </c>
      <c r="H25" s="255">
        <f t="shared" si="1"/>
        <v>3291</v>
      </c>
      <c r="I25" s="255">
        <f t="shared" si="1"/>
        <v>2661</v>
      </c>
      <c r="J25" s="255">
        <f t="shared" si="1"/>
        <v>2631</v>
      </c>
    </row>
    <row r="26" spans="1:20" ht="15">
      <c r="A26" s="429">
        <v>3</v>
      </c>
      <c r="B26" s="239" t="s">
        <v>159</v>
      </c>
      <c r="C26" s="240">
        <v>5851</v>
      </c>
      <c r="D26" s="237">
        <v>792.55293771220988</v>
      </c>
      <c r="E26" s="237">
        <v>343.28081123244931</v>
      </c>
      <c r="F26" s="241">
        <v>384.98198198198196</v>
      </c>
      <c r="G26" s="255">
        <f t="shared" si="1"/>
        <v>5851</v>
      </c>
      <c r="H26" s="255">
        <f t="shared" si="1"/>
        <v>793</v>
      </c>
      <c r="I26" s="255">
        <f t="shared" si="1"/>
        <v>343</v>
      </c>
      <c r="J26" s="255">
        <f t="shared" si="1"/>
        <v>385</v>
      </c>
    </row>
    <row r="27" spans="1:20" ht="15">
      <c r="A27" s="429">
        <v>3</v>
      </c>
      <c r="B27" s="239" t="s">
        <v>160</v>
      </c>
      <c r="C27" s="240">
        <v>60427</v>
      </c>
      <c r="D27" s="237">
        <v>5331.2720598233427</v>
      </c>
      <c r="E27" s="237">
        <v>657.62964774951081</v>
      </c>
      <c r="F27" s="241">
        <v>2785.4840235726642</v>
      </c>
      <c r="G27" s="255">
        <f t="shared" si="1"/>
        <v>60427</v>
      </c>
      <c r="H27" s="255">
        <f t="shared" si="1"/>
        <v>5331</v>
      </c>
      <c r="I27" s="255">
        <f t="shared" si="1"/>
        <v>658</v>
      </c>
      <c r="J27" s="255">
        <f t="shared" si="1"/>
        <v>2785</v>
      </c>
    </row>
    <row r="28" spans="1:20" ht="15">
      <c r="A28" s="429">
        <v>3</v>
      </c>
      <c r="B28" s="239" t="s">
        <v>161</v>
      </c>
      <c r="C28" s="240">
        <v>15535</v>
      </c>
      <c r="D28" s="237">
        <v>1756.1350861351839</v>
      </c>
      <c r="E28" s="237">
        <v>888.96207701283538</v>
      </c>
      <c r="F28" s="241">
        <v>1159.7508757747239</v>
      </c>
      <c r="G28" s="255">
        <f t="shared" si="1"/>
        <v>15535</v>
      </c>
      <c r="H28" s="255">
        <f t="shared" si="1"/>
        <v>1756</v>
      </c>
      <c r="I28" s="255">
        <f t="shared" si="1"/>
        <v>889</v>
      </c>
      <c r="J28" s="255">
        <f t="shared" si="1"/>
        <v>1160</v>
      </c>
    </row>
    <row r="29" spans="1:20" ht="15">
      <c r="A29" s="429">
        <v>3</v>
      </c>
      <c r="B29" s="239" t="s">
        <v>162</v>
      </c>
      <c r="C29" s="240">
        <v>4500</v>
      </c>
      <c r="D29" s="237">
        <v>451.52115369171935</v>
      </c>
      <c r="E29" s="237">
        <v>132.82412060301507</v>
      </c>
      <c r="F29" s="241">
        <v>382.59956616052062</v>
      </c>
      <c r="G29" s="255">
        <f t="shared" si="1"/>
        <v>4500</v>
      </c>
      <c r="H29" s="255">
        <f t="shared" si="1"/>
        <v>452</v>
      </c>
      <c r="I29" s="255">
        <f t="shared" si="1"/>
        <v>133</v>
      </c>
      <c r="J29" s="255">
        <f t="shared" si="1"/>
        <v>383</v>
      </c>
    </row>
    <row r="30" spans="1:20" ht="15">
      <c r="A30" s="429">
        <v>3</v>
      </c>
      <c r="B30" s="239" t="s">
        <v>163</v>
      </c>
      <c r="C30" s="240">
        <v>4200</v>
      </c>
      <c r="D30" s="237">
        <v>538.14472603270553</v>
      </c>
      <c r="E30" s="237">
        <v>40.855491329479769</v>
      </c>
      <c r="F30" s="241">
        <v>320.13092550790066</v>
      </c>
      <c r="G30" s="255">
        <f t="shared" si="1"/>
        <v>4200</v>
      </c>
      <c r="H30" s="255">
        <f t="shared" si="1"/>
        <v>538</v>
      </c>
      <c r="I30" s="255">
        <f t="shared" si="1"/>
        <v>41</v>
      </c>
      <c r="J30" s="255">
        <f t="shared" si="1"/>
        <v>320</v>
      </c>
    </row>
    <row r="31" spans="1:20" ht="15">
      <c r="A31" s="429">
        <v>3</v>
      </c>
      <c r="B31" s="239" t="s">
        <v>164</v>
      </c>
      <c r="C31" s="240">
        <v>2701</v>
      </c>
      <c r="D31" s="237">
        <v>398.16768954316126</v>
      </c>
      <c r="E31" s="237">
        <v>357.25401929260454</v>
      </c>
      <c r="F31" s="241">
        <v>154.74107142857144</v>
      </c>
      <c r="G31" s="255">
        <f t="shared" si="1"/>
        <v>2701</v>
      </c>
      <c r="H31" s="255">
        <f t="shared" si="1"/>
        <v>398</v>
      </c>
      <c r="I31" s="255">
        <f t="shared" si="1"/>
        <v>357</v>
      </c>
      <c r="J31" s="255">
        <f t="shared" si="1"/>
        <v>155</v>
      </c>
    </row>
    <row r="32" spans="1:20" ht="15">
      <c r="A32" s="429">
        <v>3</v>
      </c>
      <c r="B32" s="239" t="s">
        <v>165</v>
      </c>
      <c r="C32" s="240">
        <v>62437</v>
      </c>
      <c r="D32" s="237">
        <v>4473.6708867115867</v>
      </c>
      <c r="E32" s="237">
        <v>976.59643435980547</v>
      </c>
      <c r="F32" s="241">
        <v>3319.5351506456241</v>
      </c>
      <c r="G32" s="255">
        <f t="shared" si="1"/>
        <v>62437</v>
      </c>
      <c r="H32" s="255">
        <f t="shared" si="1"/>
        <v>4474</v>
      </c>
      <c r="I32" s="255">
        <f t="shared" si="1"/>
        <v>977</v>
      </c>
      <c r="J32" s="255">
        <f t="shared" si="1"/>
        <v>3320</v>
      </c>
    </row>
    <row r="33" spans="1:10" ht="15">
      <c r="A33" s="429">
        <v>3</v>
      </c>
      <c r="B33" s="239" t="s">
        <v>166</v>
      </c>
      <c r="C33" s="240">
        <v>1764</v>
      </c>
      <c r="D33" s="237">
        <v>280.01500096469226</v>
      </c>
      <c r="E33" s="237">
        <v>74.746987951807242</v>
      </c>
      <c r="F33" s="241">
        <v>102.87323943661971</v>
      </c>
      <c r="G33" s="255">
        <f t="shared" si="1"/>
        <v>1764</v>
      </c>
      <c r="H33" s="255">
        <f t="shared" si="1"/>
        <v>280</v>
      </c>
      <c r="I33" s="255">
        <f t="shared" si="1"/>
        <v>75</v>
      </c>
      <c r="J33" s="255">
        <f t="shared" si="1"/>
        <v>103</v>
      </c>
    </row>
    <row r="34" spans="1:10" ht="15">
      <c r="A34" s="429">
        <v>3</v>
      </c>
      <c r="B34" s="239" t="s">
        <v>167</v>
      </c>
      <c r="C34" s="240">
        <v>99909</v>
      </c>
      <c r="D34" s="237">
        <v>6184.8893675847639</v>
      </c>
      <c r="E34" s="237">
        <v>3015.8447280993178</v>
      </c>
      <c r="F34" s="241">
        <v>5198.4296319550876</v>
      </c>
      <c r="G34" s="255">
        <f t="shared" si="1"/>
        <v>99909</v>
      </c>
      <c r="H34" s="255">
        <f t="shared" si="1"/>
        <v>6185</v>
      </c>
      <c r="I34" s="255">
        <f t="shared" si="1"/>
        <v>3016</v>
      </c>
      <c r="J34" s="255">
        <f t="shared" si="1"/>
        <v>5198</v>
      </c>
    </row>
    <row r="35" spans="1:10" ht="15">
      <c r="A35" s="429">
        <v>3</v>
      </c>
      <c r="B35" s="239" t="s">
        <v>168</v>
      </c>
      <c r="C35" s="240">
        <v>11239</v>
      </c>
      <c r="D35" s="237">
        <v>1557.0026139353231</v>
      </c>
      <c r="E35" s="237">
        <v>381.66090712742982</v>
      </c>
      <c r="F35" s="241">
        <v>774.85554642563682</v>
      </c>
      <c r="G35" s="255">
        <f t="shared" si="1"/>
        <v>11239</v>
      </c>
      <c r="H35" s="255">
        <f t="shared" si="1"/>
        <v>1557</v>
      </c>
      <c r="I35" s="255">
        <f t="shared" si="1"/>
        <v>382</v>
      </c>
      <c r="J35" s="255">
        <f t="shared" si="1"/>
        <v>775</v>
      </c>
    </row>
    <row r="36" spans="1:10" ht="15">
      <c r="A36" s="429">
        <v>3</v>
      </c>
      <c r="B36" s="239" t="s">
        <v>169</v>
      </c>
      <c r="C36" s="240">
        <v>106485</v>
      </c>
      <c r="D36" s="237">
        <v>9848.9998945550069</v>
      </c>
      <c r="E36" s="237">
        <v>2850.7900504054351</v>
      </c>
      <c r="F36" s="241">
        <v>5514.7760760453821</v>
      </c>
      <c r="G36" s="255">
        <f t="shared" si="1"/>
        <v>106485</v>
      </c>
      <c r="H36" s="255">
        <f t="shared" si="1"/>
        <v>9849</v>
      </c>
      <c r="I36" s="255">
        <f t="shared" si="1"/>
        <v>2851</v>
      </c>
      <c r="J36" s="255">
        <f t="shared" si="1"/>
        <v>5515</v>
      </c>
    </row>
    <row r="37" spans="1:10" ht="15">
      <c r="A37" s="429">
        <v>3</v>
      </c>
      <c r="B37" s="239" t="s">
        <v>170</v>
      </c>
      <c r="C37" s="240">
        <v>19972</v>
      </c>
      <c r="D37" s="237">
        <v>3600.0333847025149</v>
      </c>
      <c r="E37" s="237">
        <v>1218.2910628019324</v>
      </c>
      <c r="F37" s="241">
        <v>1604.5855022919741</v>
      </c>
      <c r="G37" s="255">
        <f t="shared" si="1"/>
        <v>19972</v>
      </c>
      <c r="H37" s="255">
        <f t="shared" si="1"/>
        <v>3600</v>
      </c>
      <c r="I37" s="255">
        <f t="shared" si="1"/>
        <v>1218</v>
      </c>
      <c r="J37" s="255">
        <f t="shared" si="1"/>
        <v>1605</v>
      </c>
    </row>
    <row r="38" spans="1:10" ht="15">
      <c r="A38" s="429">
        <v>3</v>
      </c>
      <c r="B38" s="239" t="s">
        <v>171</v>
      </c>
      <c r="C38" s="240">
        <v>39899</v>
      </c>
      <c r="D38" s="237">
        <v>2829.8445880284144</v>
      </c>
      <c r="E38" s="237">
        <v>1003.9149350649351</v>
      </c>
      <c r="F38" s="241">
        <v>2139.9736383290328</v>
      </c>
      <c r="G38" s="255">
        <f t="shared" ref="G38:J69" si="2">ROUND(C38,0)</f>
        <v>39899</v>
      </c>
      <c r="H38" s="255">
        <f t="shared" si="2"/>
        <v>2830</v>
      </c>
      <c r="I38" s="255">
        <f t="shared" si="2"/>
        <v>1004</v>
      </c>
      <c r="J38" s="255">
        <f t="shared" si="2"/>
        <v>2140</v>
      </c>
    </row>
    <row r="39" spans="1:10" ht="15">
      <c r="A39" s="429">
        <v>3</v>
      </c>
      <c r="B39" s="239" t="s">
        <v>172</v>
      </c>
      <c r="C39" s="240">
        <v>11243</v>
      </c>
      <c r="D39" s="237">
        <v>1641.9397541613503</v>
      </c>
      <c r="E39" s="237">
        <v>347.31958762886597</v>
      </c>
      <c r="F39" s="241">
        <v>808.11437908496725</v>
      </c>
      <c r="G39" s="255">
        <f t="shared" si="2"/>
        <v>11243</v>
      </c>
      <c r="H39" s="255">
        <f t="shared" si="2"/>
        <v>1642</v>
      </c>
      <c r="I39" s="255">
        <f t="shared" si="2"/>
        <v>347</v>
      </c>
      <c r="J39" s="255">
        <f t="shared" si="2"/>
        <v>808</v>
      </c>
    </row>
    <row r="40" spans="1:10" ht="15.75" thickBot="1">
      <c r="A40" s="430">
        <v>3</v>
      </c>
      <c r="B40" s="243" t="s">
        <v>173</v>
      </c>
      <c r="C40" s="244">
        <v>2211</v>
      </c>
      <c r="D40" s="245">
        <v>323.82301231374282</v>
      </c>
      <c r="E40" s="245">
        <v>156.01083032490976</v>
      </c>
      <c r="F40" s="246">
        <v>232.63761467889907</v>
      </c>
      <c r="G40" s="255">
        <f t="shared" si="2"/>
        <v>2211</v>
      </c>
      <c r="H40" s="255">
        <f t="shared" si="2"/>
        <v>324</v>
      </c>
      <c r="I40" s="255">
        <f t="shared" si="2"/>
        <v>156</v>
      </c>
      <c r="J40" s="255">
        <f t="shared" si="2"/>
        <v>233</v>
      </c>
    </row>
    <row r="41" spans="1:10" ht="15.75" thickBot="1">
      <c r="A41" s="432" t="s">
        <v>174</v>
      </c>
      <c r="B41" s="232"/>
      <c r="C41" s="247">
        <v>487923</v>
      </c>
      <c r="D41" s="247">
        <v>43298.55626033475</v>
      </c>
      <c r="E41" s="247">
        <v>15107.219385190812</v>
      </c>
      <c r="F41" s="248">
        <v>27513.974010606133</v>
      </c>
      <c r="G41" s="255">
        <f t="shared" si="2"/>
        <v>487923</v>
      </c>
      <c r="H41" s="255">
        <f t="shared" si="2"/>
        <v>43299</v>
      </c>
      <c r="I41" s="255">
        <f t="shared" si="2"/>
        <v>15107</v>
      </c>
      <c r="J41" s="255">
        <f t="shared" si="2"/>
        <v>27514</v>
      </c>
    </row>
    <row r="42" spans="1:10" ht="15">
      <c r="A42" s="428">
        <v>4</v>
      </c>
      <c r="B42" s="234" t="s">
        <v>175</v>
      </c>
      <c r="C42" s="235">
        <v>4480</v>
      </c>
      <c r="D42" s="236">
        <v>441.53344166603893</v>
      </c>
      <c r="E42" s="236">
        <v>148.61631419939576</v>
      </c>
      <c r="F42" s="238">
        <v>310.7150715071507</v>
      </c>
      <c r="G42" s="255">
        <f t="shared" si="2"/>
        <v>4480</v>
      </c>
      <c r="H42" s="255">
        <f t="shared" si="2"/>
        <v>442</v>
      </c>
      <c r="I42" s="255">
        <f t="shared" si="2"/>
        <v>149</v>
      </c>
      <c r="J42" s="255">
        <f t="shared" si="2"/>
        <v>311</v>
      </c>
    </row>
    <row r="43" spans="1:10" ht="15">
      <c r="A43" s="429">
        <v>4</v>
      </c>
      <c r="B43" s="239" t="s">
        <v>176</v>
      </c>
      <c r="C43" s="240">
        <v>33952</v>
      </c>
      <c r="D43" s="237">
        <v>2542.2421960459851</v>
      </c>
      <c r="E43" s="237">
        <v>538.27428095039602</v>
      </c>
      <c r="F43" s="241">
        <v>2065.0764058679706</v>
      </c>
      <c r="G43" s="255">
        <f t="shared" si="2"/>
        <v>33952</v>
      </c>
      <c r="H43" s="255">
        <f t="shared" si="2"/>
        <v>2542</v>
      </c>
      <c r="I43" s="255">
        <f t="shared" si="2"/>
        <v>538</v>
      </c>
      <c r="J43" s="255">
        <f t="shared" si="2"/>
        <v>2065</v>
      </c>
    </row>
    <row r="44" spans="1:10" ht="15">
      <c r="A44" s="429">
        <v>4</v>
      </c>
      <c r="B44" s="239" t="s">
        <v>177</v>
      </c>
      <c r="C44" s="240">
        <v>153781</v>
      </c>
      <c r="D44" s="237">
        <v>14920.642266607221</v>
      </c>
      <c r="E44" s="237">
        <v>11971.730563639605</v>
      </c>
      <c r="F44" s="241">
        <v>11093.981034859367</v>
      </c>
      <c r="G44" s="255">
        <f t="shared" si="2"/>
        <v>153781</v>
      </c>
      <c r="H44" s="255">
        <f t="shared" si="2"/>
        <v>14921</v>
      </c>
      <c r="I44" s="255">
        <f t="shared" si="2"/>
        <v>11972</v>
      </c>
      <c r="J44" s="255">
        <f t="shared" si="2"/>
        <v>11094</v>
      </c>
    </row>
    <row r="45" spans="1:10" ht="15">
      <c r="A45" s="429">
        <v>4</v>
      </c>
      <c r="B45" s="239" t="s">
        <v>178</v>
      </c>
      <c r="C45" s="240">
        <v>35989</v>
      </c>
      <c r="D45" s="237">
        <v>2207.9628665294749</v>
      </c>
      <c r="E45" s="237">
        <v>666.61632753125764</v>
      </c>
      <c r="F45" s="241">
        <v>1591.2403390317481</v>
      </c>
      <c r="G45" s="255">
        <f t="shared" si="2"/>
        <v>35989</v>
      </c>
      <c r="H45" s="255">
        <f t="shared" si="2"/>
        <v>2208</v>
      </c>
      <c r="I45" s="255">
        <f t="shared" si="2"/>
        <v>667</v>
      </c>
      <c r="J45" s="255">
        <f t="shared" si="2"/>
        <v>1591</v>
      </c>
    </row>
    <row r="46" spans="1:10" ht="15">
      <c r="A46" s="429">
        <v>4</v>
      </c>
      <c r="B46" s="239" t="s">
        <v>179</v>
      </c>
      <c r="C46" s="240">
        <v>18122</v>
      </c>
      <c r="D46" s="237">
        <v>1584.5996894585305</v>
      </c>
      <c r="E46" s="237">
        <v>344.0291891891892</v>
      </c>
      <c r="F46" s="241">
        <v>1239.9978417266188</v>
      </c>
      <c r="G46" s="255">
        <f t="shared" si="2"/>
        <v>18122</v>
      </c>
      <c r="H46" s="255">
        <f t="shared" si="2"/>
        <v>1585</v>
      </c>
      <c r="I46" s="255">
        <f t="shared" si="2"/>
        <v>344</v>
      </c>
      <c r="J46" s="255">
        <f t="shared" si="2"/>
        <v>1240</v>
      </c>
    </row>
    <row r="47" spans="1:10" ht="15">
      <c r="A47" s="429">
        <v>4</v>
      </c>
      <c r="B47" s="239" t="s">
        <v>180</v>
      </c>
      <c r="C47" s="240">
        <v>44230</v>
      </c>
      <c r="D47" s="237">
        <v>2715.1446663431275</v>
      </c>
      <c r="E47" s="237">
        <v>857.96316023080351</v>
      </c>
      <c r="F47" s="241">
        <v>1869.8245502645502</v>
      </c>
      <c r="G47" s="255">
        <f t="shared" si="2"/>
        <v>44230</v>
      </c>
      <c r="H47" s="255">
        <f t="shared" si="2"/>
        <v>2715</v>
      </c>
      <c r="I47" s="255">
        <f t="shared" si="2"/>
        <v>858</v>
      </c>
      <c r="J47" s="255">
        <f t="shared" si="2"/>
        <v>1870</v>
      </c>
    </row>
    <row r="48" spans="1:10" ht="15.75" thickBot="1">
      <c r="A48" s="430">
        <v>4</v>
      </c>
      <c r="B48" s="243" t="s">
        <v>181</v>
      </c>
      <c r="C48" s="244">
        <v>146836</v>
      </c>
      <c r="D48" s="245">
        <v>13069.41290777135</v>
      </c>
      <c r="E48" s="245">
        <v>3660.3781130268198</v>
      </c>
      <c r="F48" s="246">
        <v>7856.627186538848</v>
      </c>
      <c r="G48" s="255">
        <f t="shared" si="2"/>
        <v>146836</v>
      </c>
      <c r="H48" s="255">
        <f t="shared" si="2"/>
        <v>13069</v>
      </c>
      <c r="I48" s="255">
        <f t="shared" si="2"/>
        <v>3660</v>
      </c>
      <c r="J48" s="255">
        <f t="shared" si="2"/>
        <v>7857</v>
      </c>
    </row>
    <row r="49" spans="1:10" ht="15.75" thickBot="1">
      <c r="A49" s="432" t="s">
        <v>182</v>
      </c>
      <c r="B49" s="232"/>
      <c r="C49" s="247">
        <v>437390</v>
      </c>
      <c r="D49" s="247">
        <v>37481.538034421726</v>
      </c>
      <c r="E49" s="247">
        <v>18187.607948767465</v>
      </c>
      <c r="F49" s="248">
        <v>26027.462429796255</v>
      </c>
      <c r="G49" s="255">
        <f t="shared" si="2"/>
        <v>437390</v>
      </c>
      <c r="H49" s="255">
        <f t="shared" si="2"/>
        <v>37482</v>
      </c>
      <c r="I49" s="255">
        <f t="shared" si="2"/>
        <v>18188</v>
      </c>
      <c r="J49" s="255">
        <f t="shared" si="2"/>
        <v>26027</v>
      </c>
    </row>
    <row r="50" spans="1:10" ht="15">
      <c r="A50" s="428">
        <v>5</v>
      </c>
      <c r="B50" s="234" t="s">
        <v>183</v>
      </c>
      <c r="C50" s="235">
        <v>135754</v>
      </c>
      <c r="D50" s="236">
        <v>11534.789386019176</v>
      </c>
      <c r="E50" s="236">
        <v>1597.9039623908661</v>
      </c>
      <c r="F50" s="238">
        <v>6666.9443070685465</v>
      </c>
      <c r="G50" s="255">
        <f t="shared" si="2"/>
        <v>135754</v>
      </c>
      <c r="H50" s="255">
        <f t="shared" si="2"/>
        <v>11535</v>
      </c>
      <c r="I50" s="255">
        <f t="shared" si="2"/>
        <v>1598</v>
      </c>
      <c r="J50" s="255">
        <f t="shared" si="2"/>
        <v>6667</v>
      </c>
    </row>
    <row r="51" spans="1:10" ht="15.75" thickBot="1">
      <c r="A51" s="430">
        <v>5</v>
      </c>
      <c r="B51" s="243" t="s">
        <v>184</v>
      </c>
      <c r="C51" s="244">
        <v>266052</v>
      </c>
      <c r="D51" s="245">
        <v>24315.59493996625</v>
      </c>
      <c r="E51" s="245">
        <v>7013.1188460023632</v>
      </c>
      <c r="F51" s="246">
        <v>14845.50658592203</v>
      </c>
      <c r="G51" s="255">
        <f t="shared" si="2"/>
        <v>266052</v>
      </c>
      <c r="H51" s="255">
        <f t="shared" si="2"/>
        <v>24316</v>
      </c>
      <c r="I51" s="255">
        <f t="shared" si="2"/>
        <v>7013</v>
      </c>
      <c r="J51" s="255">
        <f t="shared" si="2"/>
        <v>14846</v>
      </c>
    </row>
    <row r="52" spans="1:10" ht="15.75" thickBot="1">
      <c r="A52" s="432" t="s">
        <v>185</v>
      </c>
      <c r="B52" s="232"/>
      <c r="C52" s="247">
        <v>401806</v>
      </c>
      <c r="D52" s="247">
        <v>35850.384325985426</v>
      </c>
      <c r="E52" s="247">
        <v>8611.0228083932288</v>
      </c>
      <c r="F52" s="248">
        <v>21512.450892990579</v>
      </c>
      <c r="G52" s="255">
        <f t="shared" si="2"/>
        <v>401806</v>
      </c>
      <c r="H52" s="255">
        <f t="shared" si="2"/>
        <v>35850</v>
      </c>
      <c r="I52" s="255">
        <f t="shared" si="2"/>
        <v>8611</v>
      </c>
      <c r="J52" s="255">
        <f t="shared" si="2"/>
        <v>21512</v>
      </c>
    </row>
    <row r="53" spans="1:10" ht="15">
      <c r="A53" s="428">
        <v>6</v>
      </c>
      <c r="B53" s="234" t="s">
        <v>186</v>
      </c>
      <c r="C53" s="235">
        <v>4949</v>
      </c>
      <c r="D53" s="236">
        <v>881.04999541778682</v>
      </c>
      <c r="E53" s="236">
        <v>500.2802197802198</v>
      </c>
      <c r="F53" s="238">
        <v>473.81050041017227</v>
      </c>
      <c r="G53" s="255">
        <f t="shared" si="2"/>
        <v>4949</v>
      </c>
      <c r="H53" s="255">
        <f t="shared" si="2"/>
        <v>881</v>
      </c>
      <c r="I53" s="255">
        <f t="shared" si="2"/>
        <v>500</v>
      </c>
      <c r="J53" s="255">
        <f t="shared" si="2"/>
        <v>474</v>
      </c>
    </row>
    <row r="54" spans="1:10" ht="15">
      <c r="A54" s="429">
        <v>6</v>
      </c>
      <c r="B54" s="239" t="s">
        <v>187</v>
      </c>
      <c r="C54" s="240">
        <v>39921</v>
      </c>
      <c r="D54" s="237">
        <v>3936.5702713034188</v>
      </c>
      <c r="E54" s="237">
        <v>1447.8597181252048</v>
      </c>
      <c r="F54" s="241">
        <v>2144.3343264524365</v>
      </c>
      <c r="G54" s="255">
        <f t="shared" si="2"/>
        <v>39921</v>
      </c>
      <c r="H54" s="255">
        <f t="shared" si="2"/>
        <v>3937</v>
      </c>
      <c r="I54" s="255">
        <f t="shared" si="2"/>
        <v>1448</v>
      </c>
      <c r="J54" s="255">
        <f t="shared" si="2"/>
        <v>2144</v>
      </c>
    </row>
    <row r="55" spans="1:10" ht="15">
      <c r="A55" s="429">
        <v>6</v>
      </c>
      <c r="B55" s="239" t="s">
        <v>188</v>
      </c>
      <c r="C55" s="240">
        <v>215224</v>
      </c>
      <c r="D55" s="237">
        <v>20971.127014291647</v>
      </c>
      <c r="E55" s="237">
        <v>16376.455034588778</v>
      </c>
      <c r="F55" s="241">
        <v>14368.816716022176</v>
      </c>
      <c r="G55" s="255">
        <f t="shared" si="2"/>
        <v>215224</v>
      </c>
      <c r="H55" s="255">
        <f t="shared" si="2"/>
        <v>20971</v>
      </c>
      <c r="I55" s="255">
        <f t="shared" si="2"/>
        <v>16376</v>
      </c>
      <c r="J55" s="255">
        <f t="shared" si="2"/>
        <v>14369</v>
      </c>
    </row>
    <row r="56" spans="1:10" ht="15">
      <c r="A56" s="429">
        <v>6</v>
      </c>
      <c r="B56" s="239" t="s">
        <v>189</v>
      </c>
      <c r="C56" s="240">
        <v>94648</v>
      </c>
      <c r="D56" s="237">
        <v>7288.3468253293922</v>
      </c>
      <c r="E56" s="237">
        <v>2318.3774419461852</v>
      </c>
      <c r="F56" s="241">
        <v>4301.8050984137917</v>
      </c>
      <c r="G56" s="255">
        <f t="shared" si="2"/>
        <v>94648</v>
      </c>
      <c r="H56" s="255">
        <f t="shared" si="2"/>
        <v>7288</v>
      </c>
      <c r="I56" s="255">
        <f t="shared" si="2"/>
        <v>2318</v>
      </c>
      <c r="J56" s="255">
        <f t="shared" si="2"/>
        <v>4302</v>
      </c>
    </row>
    <row r="57" spans="1:10" ht="15.75" thickBot="1">
      <c r="A57" s="430">
        <v>6</v>
      </c>
      <c r="B57" s="243" t="s">
        <v>190</v>
      </c>
      <c r="C57" s="244">
        <v>144391</v>
      </c>
      <c r="D57" s="245">
        <v>12833.861175679689</v>
      </c>
      <c r="E57" s="245">
        <v>6601.5651131133727</v>
      </c>
      <c r="F57" s="246">
        <v>8840.2494703203829</v>
      </c>
      <c r="G57" s="255">
        <f t="shared" si="2"/>
        <v>144391</v>
      </c>
      <c r="H57" s="255">
        <f t="shared" si="2"/>
        <v>12834</v>
      </c>
      <c r="I57" s="255">
        <f t="shared" si="2"/>
        <v>6602</v>
      </c>
      <c r="J57" s="255">
        <f t="shared" si="2"/>
        <v>8840</v>
      </c>
    </row>
    <row r="58" spans="1:10" ht="15.75" thickBot="1">
      <c r="A58" s="432" t="s">
        <v>191</v>
      </c>
      <c r="B58" s="232"/>
      <c r="C58" s="247">
        <v>499133</v>
      </c>
      <c r="D58" s="247">
        <v>45910.955282021932</v>
      </c>
      <c r="E58" s="247">
        <v>27244.537527553759</v>
      </c>
      <c r="F58" s="248">
        <v>30129.016111618963</v>
      </c>
      <c r="G58" s="255">
        <f t="shared" si="2"/>
        <v>499133</v>
      </c>
      <c r="H58" s="255">
        <f t="shared" si="2"/>
        <v>45911</v>
      </c>
      <c r="I58" s="255">
        <f t="shared" si="2"/>
        <v>27245</v>
      </c>
      <c r="J58" s="255">
        <f t="shared" si="2"/>
        <v>30129</v>
      </c>
    </row>
    <row r="59" spans="1:10" ht="15">
      <c r="A59" s="428">
        <v>7</v>
      </c>
      <c r="B59" s="234" t="s">
        <v>192</v>
      </c>
      <c r="C59" s="235">
        <v>159235</v>
      </c>
      <c r="D59" s="236">
        <v>11555.411060065831</v>
      </c>
      <c r="E59" s="236">
        <v>4445.5009291607821</v>
      </c>
      <c r="F59" s="238">
        <v>8218.8036850520457</v>
      </c>
      <c r="G59" s="255">
        <f t="shared" si="2"/>
        <v>159235</v>
      </c>
      <c r="H59" s="255">
        <f t="shared" si="2"/>
        <v>11555</v>
      </c>
      <c r="I59" s="255">
        <f t="shared" si="2"/>
        <v>4446</v>
      </c>
      <c r="J59" s="255">
        <f t="shared" si="2"/>
        <v>8219</v>
      </c>
    </row>
    <row r="60" spans="1:10" ht="15">
      <c r="A60" s="429">
        <v>7</v>
      </c>
      <c r="B60" s="239" t="s">
        <v>193</v>
      </c>
      <c r="C60" s="240">
        <v>157408</v>
      </c>
      <c r="D60" s="237">
        <v>15138.720013991482</v>
      </c>
      <c r="E60" s="237">
        <v>15918.11015283405</v>
      </c>
      <c r="F60" s="241">
        <v>10394.815733439409</v>
      </c>
      <c r="G60" s="255">
        <f t="shared" si="2"/>
        <v>157408</v>
      </c>
      <c r="H60" s="255">
        <f t="shared" si="2"/>
        <v>15139</v>
      </c>
      <c r="I60" s="255">
        <f t="shared" si="2"/>
        <v>15918</v>
      </c>
      <c r="J60" s="255">
        <f t="shared" si="2"/>
        <v>10395</v>
      </c>
    </row>
    <row r="61" spans="1:10" ht="15">
      <c r="A61" s="429">
        <v>7</v>
      </c>
      <c r="B61" s="239" t="s">
        <v>194</v>
      </c>
      <c r="C61" s="240">
        <v>43377</v>
      </c>
      <c r="D61" s="237">
        <v>4284.2178069225592</v>
      </c>
      <c r="E61" s="237">
        <v>4277.6099189318074</v>
      </c>
      <c r="F61" s="241">
        <v>2052.9777292343761</v>
      </c>
      <c r="G61" s="255">
        <f t="shared" si="2"/>
        <v>43377</v>
      </c>
      <c r="H61" s="255">
        <f t="shared" si="2"/>
        <v>4284</v>
      </c>
      <c r="I61" s="255">
        <f t="shared" si="2"/>
        <v>4278</v>
      </c>
      <c r="J61" s="255">
        <f t="shared" si="2"/>
        <v>2053</v>
      </c>
    </row>
    <row r="62" spans="1:10" ht="15.75" thickBot="1">
      <c r="A62" s="430">
        <v>7</v>
      </c>
      <c r="B62" s="243" t="s">
        <v>195</v>
      </c>
      <c r="C62" s="244">
        <v>73722</v>
      </c>
      <c r="D62" s="245">
        <v>5772.8099660195676</v>
      </c>
      <c r="E62" s="245">
        <v>4042.3953273901016</v>
      </c>
      <c r="F62" s="246">
        <v>4488.5056383460851</v>
      </c>
      <c r="G62" s="255">
        <f t="shared" si="2"/>
        <v>73722</v>
      </c>
      <c r="H62" s="255">
        <f t="shared" si="2"/>
        <v>5773</v>
      </c>
      <c r="I62" s="255">
        <f t="shared" si="2"/>
        <v>4042</v>
      </c>
      <c r="J62" s="255">
        <f t="shared" si="2"/>
        <v>4489</v>
      </c>
    </row>
    <row r="63" spans="1:10" ht="15.75" thickBot="1">
      <c r="A63" s="432" t="s">
        <v>196</v>
      </c>
      <c r="B63" s="232"/>
      <c r="C63" s="247">
        <v>433742</v>
      </c>
      <c r="D63" s="247">
        <v>36751.158846999439</v>
      </c>
      <c r="E63" s="247">
        <v>28683.616328316741</v>
      </c>
      <c r="F63" s="248">
        <v>25155.102786071919</v>
      </c>
      <c r="G63" s="255">
        <f t="shared" si="2"/>
        <v>433742</v>
      </c>
      <c r="H63" s="255">
        <f t="shared" si="2"/>
        <v>36751</v>
      </c>
      <c r="I63" s="255">
        <f t="shared" si="2"/>
        <v>28684</v>
      </c>
      <c r="J63" s="255">
        <f t="shared" si="2"/>
        <v>25155</v>
      </c>
    </row>
    <row r="64" spans="1:10" ht="15">
      <c r="A64" s="428">
        <v>8</v>
      </c>
      <c r="B64" s="234" t="s">
        <v>197</v>
      </c>
      <c r="C64" s="235">
        <v>71276</v>
      </c>
      <c r="D64" s="236">
        <v>4609.1110814118874</v>
      </c>
      <c r="E64" s="236">
        <v>1008.4032921810699</v>
      </c>
      <c r="F64" s="238">
        <v>3748.6920431093786</v>
      </c>
      <c r="G64" s="255">
        <f t="shared" si="2"/>
        <v>71276</v>
      </c>
      <c r="H64" s="255">
        <f t="shared" si="2"/>
        <v>4609</v>
      </c>
      <c r="I64" s="255">
        <f t="shared" si="2"/>
        <v>1008</v>
      </c>
      <c r="J64" s="255">
        <f t="shared" si="2"/>
        <v>3749</v>
      </c>
    </row>
    <row r="65" spans="1:10" ht="15">
      <c r="A65" s="429">
        <v>8</v>
      </c>
      <c r="B65" s="239" t="s">
        <v>198</v>
      </c>
      <c r="C65" s="240">
        <v>106678</v>
      </c>
      <c r="D65" s="237">
        <v>6581.4095034030206</v>
      </c>
      <c r="E65" s="237">
        <v>2219.2735042735044</v>
      </c>
      <c r="F65" s="241">
        <v>3301.8109343206911</v>
      </c>
      <c r="G65" s="255">
        <f t="shared" si="2"/>
        <v>106678</v>
      </c>
      <c r="H65" s="255">
        <f t="shared" si="2"/>
        <v>6581</v>
      </c>
      <c r="I65" s="255">
        <f t="shared" si="2"/>
        <v>2219</v>
      </c>
      <c r="J65" s="255">
        <f t="shared" si="2"/>
        <v>3302</v>
      </c>
    </row>
    <row r="66" spans="1:10" ht="15">
      <c r="A66" s="429">
        <v>8</v>
      </c>
      <c r="B66" s="239" t="s">
        <v>199</v>
      </c>
      <c r="C66" s="240">
        <v>8413</v>
      </c>
      <c r="D66" s="237">
        <v>965.65615332563243</v>
      </c>
      <c r="E66" s="237">
        <v>366.43478260869568</v>
      </c>
      <c r="F66" s="241">
        <v>430.52664680569347</v>
      </c>
      <c r="G66" s="255">
        <f t="shared" si="2"/>
        <v>8413</v>
      </c>
      <c r="H66" s="255">
        <f t="shared" si="2"/>
        <v>966</v>
      </c>
      <c r="I66" s="255">
        <f t="shared" si="2"/>
        <v>366</v>
      </c>
      <c r="J66" s="255">
        <f t="shared" si="2"/>
        <v>431</v>
      </c>
    </row>
    <row r="67" spans="1:10" ht="15">
      <c r="A67" s="429">
        <v>8</v>
      </c>
      <c r="B67" s="239" t="s">
        <v>200</v>
      </c>
      <c r="C67" s="240">
        <v>2910</v>
      </c>
      <c r="D67" s="237">
        <v>276.39078632345195</v>
      </c>
      <c r="E67" s="237">
        <v>100.91119691119691</v>
      </c>
      <c r="F67" s="241">
        <v>192.78518518518521</v>
      </c>
      <c r="G67" s="255">
        <f t="shared" si="2"/>
        <v>2910</v>
      </c>
      <c r="H67" s="255">
        <f t="shared" si="2"/>
        <v>276</v>
      </c>
      <c r="I67" s="255">
        <f t="shared" si="2"/>
        <v>101</v>
      </c>
      <c r="J67" s="255">
        <f t="shared" si="2"/>
        <v>193</v>
      </c>
    </row>
    <row r="68" spans="1:10" ht="15">
      <c r="A68" s="429">
        <v>8</v>
      </c>
      <c r="B68" s="239" t="s">
        <v>201</v>
      </c>
      <c r="C68" s="240">
        <v>5921</v>
      </c>
      <c r="D68" s="237">
        <v>801.32747755040305</v>
      </c>
      <c r="E68" s="237">
        <v>705.75856443719408</v>
      </c>
      <c r="F68" s="241">
        <v>395.78321887130488</v>
      </c>
      <c r="G68" s="255">
        <f t="shared" si="2"/>
        <v>5921</v>
      </c>
      <c r="H68" s="255">
        <f t="shared" si="2"/>
        <v>801</v>
      </c>
      <c r="I68" s="255">
        <f t="shared" si="2"/>
        <v>706</v>
      </c>
      <c r="J68" s="255">
        <f t="shared" si="2"/>
        <v>396</v>
      </c>
    </row>
    <row r="69" spans="1:10" ht="15">
      <c r="A69" s="429">
        <v>8</v>
      </c>
      <c r="B69" s="239" t="s">
        <v>202</v>
      </c>
      <c r="C69" s="240">
        <v>198312</v>
      </c>
      <c r="D69" s="237">
        <v>13762.053098881701</v>
      </c>
      <c r="E69" s="237">
        <v>4923.4126647209696</v>
      </c>
      <c r="F69" s="241">
        <v>8579.2936800255902</v>
      </c>
      <c r="G69" s="255">
        <f t="shared" si="2"/>
        <v>198312</v>
      </c>
      <c r="H69" s="255">
        <f t="shared" si="2"/>
        <v>13762</v>
      </c>
      <c r="I69" s="255">
        <f t="shared" si="2"/>
        <v>4923</v>
      </c>
      <c r="J69" s="255">
        <f t="shared" si="2"/>
        <v>8579</v>
      </c>
    </row>
    <row r="70" spans="1:10" ht="15.75" thickBot="1">
      <c r="A70" s="430">
        <v>8</v>
      </c>
      <c r="B70" s="243" t="s">
        <v>203</v>
      </c>
      <c r="C70" s="244">
        <v>158499</v>
      </c>
      <c r="D70" s="245">
        <v>11207.984626682846</v>
      </c>
      <c r="E70" s="245">
        <v>1372.7621776504297</v>
      </c>
      <c r="F70" s="246">
        <v>7319.4794795606886</v>
      </c>
      <c r="G70" s="255">
        <f t="shared" ref="G70:J82" si="3">ROUND(C70,0)</f>
        <v>158499</v>
      </c>
      <c r="H70" s="255">
        <f t="shared" si="3"/>
        <v>11208</v>
      </c>
      <c r="I70" s="255">
        <f t="shared" si="3"/>
        <v>1373</v>
      </c>
      <c r="J70" s="255">
        <f t="shared" si="3"/>
        <v>7319</v>
      </c>
    </row>
    <row r="71" spans="1:10" ht="15.75" thickBot="1">
      <c r="A71" s="432" t="s">
        <v>204</v>
      </c>
      <c r="B71" s="232"/>
      <c r="C71" s="247">
        <v>552009</v>
      </c>
      <c r="D71" s="247">
        <v>38203.93272757894</v>
      </c>
      <c r="E71" s="247">
        <v>10696.95618278306</v>
      </c>
      <c r="F71" s="248">
        <v>23968.371187878533</v>
      </c>
      <c r="G71" s="255">
        <f t="shared" si="3"/>
        <v>552009</v>
      </c>
      <c r="H71" s="255">
        <f t="shared" si="3"/>
        <v>38204</v>
      </c>
      <c r="I71" s="255">
        <f t="shared" si="3"/>
        <v>10697</v>
      </c>
      <c r="J71" s="255">
        <f t="shared" si="3"/>
        <v>23968</v>
      </c>
    </row>
    <row r="72" spans="1:10" ht="15">
      <c r="A72" s="428">
        <v>9</v>
      </c>
      <c r="B72" s="234" t="s">
        <v>205</v>
      </c>
      <c r="C72" s="235">
        <v>50820</v>
      </c>
      <c r="D72" s="236">
        <v>3796.0941108867128</v>
      </c>
      <c r="E72" s="236">
        <v>1121.9168200220831</v>
      </c>
      <c r="F72" s="238">
        <v>2165.3982954370636</v>
      </c>
      <c r="G72" s="255">
        <f t="shared" si="3"/>
        <v>50820</v>
      </c>
      <c r="H72" s="255">
        <f t="shared" si="3"/>
        <v>3796</v>
      </c>
      <c r="I72" s="255">
        <f t="shared" si="3"/>
        <v>1122</v>
      </c>
      <c r="J72" s="255">
        <f t="shared" si="3"/>
        <v>2165</v>
      </c>
    </row>
    <row r="73" spans="1:10" ht="15">
      <c r="A73" s="429">
        <v>9</v>
      </c>
      <c r="B73" s="239" t="s">
        <v>206</v>
      </c>
      <c r="C73" s="240">
        <v>52826</v>
      </c>
      <c r="D73" s="237">
        <v>3269.1930754076634</v>
      </c>
      <c r="E73" s="237">
        <v>658.06423357664232</v>
      </c>
      <c r="F73" s="241">
        <v>1851.2935456110156</v>
      </c>
      <c r="G73" s="255">
        <f t="shared" si="3"/>
        <v>52826</v>
      </c>
      <c r="H73" s="255">
        <f t="shared" si="3"/>
        <v>3269</v>
      </c>
      <c r="I73" s="255">
        <f t="shared" si="3"/>
        <v>658</v>
      </c>
      <c r="J73" s="255">
        <f t="shared" si="3"/>
        <v>1851</v>
      </c>
    </row>
    <row r="74" spans="1:10" ht="15">
      <c r="A74" s="429">
        <v>9</v>
      </c>
      <c r="B74" s="239" t="s">
        <v>207</v>
      </c>
      <c r="C74" s="240">
        <v>8995</v>
      </c>
      <c r="D74" s="237">
        <v>977.64056235599878</v>
      </c>
      <c r="E74" s="237">
        <v>397.76110444177669</v>
      </c>
      <c r="F74" s="241">
        <v>495.40133426966293</v>
      </c>
      <c r="G74" s="255">
        <f t="shared" si="3"/>
        <v>8995</v>
      </c>
      <c r="H74" s="255">
        <f t="shared" si="3"/>
        <v>978</v>
      </c>
      <c r="I74" s="255">
        <f t="shared" si="3"/>
        <v>398</v>
      </c>
      <c r="J74" s="255">
        <f t="shared" si="3"/>
        <v>495</v>
      </c>
    </row>
    <row r="75" spans="1:10" ht="15">
      <c r="A75" s="429">
        <v>9</v>
      </c>
      <c r="B75" s="239" t="s">
        <v>208</v>
      </c>
      <c r="C75" s="240">
        <v>360150</v>
      </c>
      <c r="D75" s="237">
        <v>28788.899706555279</v>
      </c>
      <c r="E75" s="237">
        <v>14611.332605311462</v>
      </c>
      <c r="F75" s="241">
        <v>18775.912156443668</v>
      </c>
      <c r="G75" s="255">
        <f t="shared" si="3"/>
        <v>360150</v>
      </c>
      <c r="H75" s="255">
        <f t="shared" si="3"/>
        <v>28789</v>
      </c>
      <c r="I75" s="255">
        <f t="shared" si="3"/>
        <v>14611</v>
      </c>
      <c r="J75" s="255">
        <f t="shared" si="3"/>
        <v>18776</v>
      </c>
    </row>
    <row r="76" spans="1:10" ht="15.75" thickBot="1">
      <c r="A76" s="430">
        <v>9</v>
      </c>
      <c r="B76" s="243" t="s">
        <v>209</v>
      </c>
      <c r="C76" s="244">
        <v>80813</v>
      </c>
      <c r="D76" s="245">
        <v>6462.5235500706676</v>
      </c>
      <c r="E76" s="245">
        <v>3783.1130403544485</v>
      </c>
      <c r="F76" s="246">
        <v>3847.3537906137185</v>
      </c>
      <c r="G76" s="255">
        <f t="shared" si="3"/>
        <v>80813</v>
      </c>
      <c r="H76" s="255">
        <f t="shared" si="3"/>
        <v>6463</v>
      </c>
      <c r="I76" s="255">
        <f t="shared" si="3"/>
        <v>3783</v>
      </c>
      <c r="J76" s="255">
        <f t="shared" si="3"/>
        <v>3847</v>
      </c>
    </row>
    <row r="77" spans="1:10" ht="15.75" thickBot="1">
      <c r="A77" s="432" t="s">
        <v>210</v>
      </c>
      <c r="B77" s="232"/>
      <c r="C77" s="247">
        <v>553604</v>
      </c>
      <c r="D77" s="247">
        <v>43294.351005276323</v>
      </c>
      <c r="E77" s="247">
        <v>20572.187803706413</v>
      </c>
      <c r="F77" s="248">
        <v>27135.359122375128</v>
      </c>
      <c r="G77" s="255">
        <f t="shared" si="3"/>
        <v>553604</v>
      </c>
      <c r="H77" s="255">
        <f t="shared" si="3"/>
        <v>43294</v>
      </c>
      <c r="I77" s="255">
        <f t="shared" si="3"/>
        <v>20572</v>
      </c>
      <c r="J77" s="255">
        <f t="shared" si="3"/>
        <v>27135</v>
      </c>
    </row>
    <row r="78" spans="1:10" ht="15.75" thickBot="1">
      <c r="A78" s="433">
        <v>10</v>
      </c>
      <c r="B78" s="249" t="s">
        <v>211</v>
      </c>
      <c r="C78" s="250">
        <v>345071</v>
      </c>
      <c r="D78" s="251">
        <v>39223.089892204684</v>
      </c>
      <c r="E78" s="251">
        <v>25821.152083635134</v>
      </c>
      <c r="F78" s="252">
        <v>22371.299222386486</v>
      </c>
      <c r="G78" s="255">
        <f t="shared" si="3"/>
        <v>345071</v>
      </c>
      <c r="H78" s="255">
        <f t="shared" si="3"/>
        <v>39223</v>
      </c>
      <c r="I78" s="255">
        <f t="shared" si="3"/>
        <v>25821</v>
      </c>
      <c r="J78" s="255">
        <f t="shared" si="3"/>
        <v>22371</v>
      </c>
    </row>
    <row r="79" spans="1:10" ht="15.75" thickBot="1">
      <c r="A79" s="432" t="s">
        <v>212</v>
      </c>
      <c r="B79" s="232"/>
      <c r="C79" s="247">
        <v>345071</v>
      </c>
      <c r="D79" s="247">
        <v>39223.089892204684</v>
      </c>
      <c r="E79" s="247">
        <v>25821.152083635134</v>
      </c>
      <c r="F79" s="248">
        <v>22371.299222386486</v>
      </c>
      <c r="G79" s="255">
        <f t="shared" si="3"/>
        <v>345071</v>
      </c>
      <c r="H79" s="255">
        <f t="shared" si="3"/>
        <v>39223</v>
      </c>
      <c r="I79" s="255">
        <f t="shared" si="3"/>
        <v>25821</v>
      </c>
      <c r="J79" s="255">
        <f t="shared" si="3"/>
        <v>22371</v>
      </c>
    </row>
    <row r="80" spans="1:10" ht="15">
      <c r="A80" s="428">
        <v>11</v>
      </c>
      <c r="B80" s="234" t="s">
        <v>213</v>
      </c>
      <c r="C80" s="235">
        <v>485275</v>
      </c>
      <c r="D80" s="236">
        <v>96368.334067236792</v>
      </c>
      <c r="E80" s="236">
        <v>112032.31924624287</v>
      </c>
      <c r="F80" s="238">
        <v>39190.88540174815</v>
      </c>
      <c r="G80" s="255">
        <f t="shared" si="3"/>
        <v>485275</v>
      </c>
      <c r="H80" s="255">
        <f t="shared" si="3"/>
        <v>96368</v>
      </c>
      <c r="I80" s="255">
        <f t="shared" si="3"/>
        <v>112032</v>
      </c>
      <c r="J80" s="255">
        <f t="shared" si="3"/>
        <v>39191</v>
      </c>
    </row>
    <row r="81" spans="1:10" ht="15.75" thickBot="1">
      <c r="A81" s="430">
        <v>11</v>
      </c>
      <c r="B81" s="243" t="s">
        <v>214</v>
      </c>
      <c r="C81" s="244">
        <v>21247</v>
      </c>
      <c r="D81" s="245">
        <v>2257.211162862418</v>
      </c>
      <c r="E81" s="245">
        <v>645.76454576386527</v>
      </c>
      <c r="F81" s="246">
        <v>773.83314164381136</v>
      </c>
      <c r="G81" s="255">
        <f t="shared" si="3"/>
        <v>21247</v>
      </c>
      <c r="H81" s="255">
        <f t="shared" si="3"/>
        <v>2257</v>
      </c>
      <c r="I81" s="255">
        <f t="shared" si="3"/>
        <v>646</v>
      </c>
      <c r="J81" s="255">
        <f t="shared" si="3"/>
        <v>774</v>
      </c>
    </row>
    <row r="82" spans="1:10" ht="15.75" thickBot="1">
      <c r="A82" s="432" t="s">
        <v>215</v>
      </c>
      <c r="B82" s="232"/>
      <c r="C82" s="253">
        <v>506522</v>
      </c>
      <c r="D82" s="253">
        <v>98625.545230099204</v>
      </c>
      <c r="E82" s="253">
        <f>SUM(E80:E81)</f>
        <v>112678.08379200674</v>
      </c>
      <c r="F82" s="254">
        <v>39964.718543391959</v>
      </c>
      <c r="G82" s="255">
        <f t="shared" si="3"/>
        <v>506522</v>
      </c>
      <c r="H82" s="255">
        <f t="shared" si="3"/>
        <v>98626</v>
      </c>
      <c r="I82" s="255">
        <f t="shared" si="3"/>
        <v>112678</v>
      </c>
      <c r="J82" s="255">
        <f t="shared" si="3"/>
        <v>39965</v>
      </c>
    </row>
  </sheetData>
  <mergeCells count="5">
    <mergeCell ref="A1:F1"/>
    <mergeCell ref="A2:F2"/>
    <mergeCell ref="G2:J2"/>
    <mergeCell ref="L3:M3"/>
    <mergeCell ref="L4:T2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AJ187"/>
  <sheetViews>
    <sheetView showGridLines="0" view="pageBreakPreview" topLeftCell="V1" zoomScaleNormal="75" workbookViewId="0">
      <selection activeCell="AG10" sqref="AG10:AG36"/>
    </sheetView>
  </sheetViews>
  <sheetFormatPr defaultRowHeight="15"/>
  <cols>
    <col min="1" max="1" width="1.44140625" style="263" customWidth="1"/>
    <col min="2" max="2" width="4.5546875" style="263" customWidth="1"/>
    <col min="3" max="3" width="9.21875" style="263" customWidth="1"/>
    <col min="4" max="4" width="14.109375" style="263" bestFit="1" customWidth="1"/>
    <col min="5" max="5" width="12.88671875" style="263" bestFit="1" customWidth="1"/>
    <col min="6" max="6" width="13" style="263" bestFit="1" customWidth="1"/>
    <col min="7" max="7" width="14" style="263" customWidth="1"/>
    <col min="8" max="8" width="14.109375" style="263" bestFit="1" customWidth="1"/>
    <col min="9" max="9" width="14" style="263" bestFit="1" customWidth="1"/>
    <col min="10" max="10" width="14.5546875" style="263" customWidth="1"/>
    <col min="11" max="11" width="14.44140625" style="263" customWidth="1"/>
    <col min="12" max="12" width="13.77734375" style="263" customWidth="1"/>
    <col min="13" max="14" width="13.109375" style="263" customWidth="1"/>
    <col min="15" max="15" width="14" style="263" customWidth="1"/>
    <col min="16" max="17" width="13.109375" style="268" customWidth="1"/>
    <col min="18" max="20" width="13.109375" style="263" customWidth="1"/>
    <col min="21" max="21" width="12.88671875" style="263" customWidth="1"/>
    <col min="22" max="22" width="11.77734375" style="263" customWidth="1"/>
    <col min="23" max="23" width="13" style="263" bestFit="1" customWidth="1"/>
    <col min="24" max="24" width="11.77734375" style="268" customWidth="1"/>
    <col min="25" max="25" width="12.88671875" style="268" customWidth="1"/>
    <col min="26" max="26" width="13.109375" style="263" customWidth="1"/>
    <col min="27" max="27" width="11.33203125" style="263" customWidth="1"/>
    <col min="28" max="28" width="14.21875" style="263" customWidth="1"/>
    <col min="29" max="29" width="12.21875" style="263" customWidth="1"/>
    <col min="30" max="30" width="0" style="263" hidden="1" customWidth="1"/>
    <col min="31" max="31" width="11.88671875" style="263" customWidth="1"/>
    <col min="32" max="32" width="8.88671875" style="267" customWidth="1"/>
    <col min="33" max="33" width="12.33203125" style="263" customWidth="1"/>
    <col min="34" max="34" width="1.44140625" style="263" customWidth="1"/>
    <col min="35" max="35" width="10.77734375" style="263" customWidth="1"/>
    <col min="36" max="36" width="1.44140625" style="263" customWidth="1"/>
    <col min="37" max="37" width="8" style="263" customWidth="1"/>
    <col min="38" max="38" width="1.44140625" style="263" customWidth="1"/>
    <col min="39" max="39" width="17.77734375" style="263" customWidth="1"/>
    <col min="40" max="40" width="1.44140625" style="263" customWidth="1"/>
    <col min="41" max="41" width="17.77734375" style="263" customWidth="1"/>
    <col min="42" max="42" width="1.44140625" style="263" customWidth="1"/>
    <col min="43" max="251" width="8" style="263"/>
    <col min="252" max="252" width="1.44140625" style="263" customWidth="1"/>
    <col min="253" max="253" width="4.5546875" style="263" customWidth="1"/>
    <col min="254" max="254" width="9.21875" style="263" customWidth="1"/>
    <col min="255" max="255" width="14.109375" style="263" bestFit="1" customWidth="1"/>
    <col min="256" max="257" width="12.33203125" style="263" customWidth="1"/>
    <col min="258" max="258" width="13" style="263" bestFit="1" customWidth="1"/>
    <col min="259" max="259" width="14" style="263" customWidth="1"/>
    <col min="260" max="260" width="14.109375" style="263" bestFit="1" customWidth="1"/>
    <col min="261" max="262" width="12.33203125" style="263" customWidth="1"/>
    <col min="263" max="263" width="14.5546875" style="263" customWidth="1"/>
    <col min="264" max="264" width="14.44140625" style="263" customWidth="1"/>
    <col min="265" max="265" width="13.77734375" style="263" customWidth="1"/>
    <col min="266" max="268" width="13.109375" style="263" customWidth="1"/>
    <col min="269" max="269" width="14" style="263" customWidth="1"/>
    <col min="270" max="275" width="13.109375" style="263" customWidth="1"/>
    <col min="276" max="276" width="12.88671875" style="263" customWidth="1"/>
    <col min="277" max="277" width="10.5546875" style="263" customWidth="1"/>
    <col min="278" max="278" width="11.77734375" style="263" customWidth="1"/>
    <col min="279" max="279" width="13" style="263" bestFit="1" customWidth="1"/>
    <col min="280" max="280" width="11.77734375" style="263" customWidth="1"/>
    <col min="281" max="281" width="12.88671875" style="263" customWidth="1"/>
    <col min="282" max="282" width="13.109375" style="263" customWidth="1"/>
    <col min="283" max="283" width="11.33203125" style="263" customWidth="1"/>
    <col min="284" max="284" width="14.21875" style="263" customWidth="1"/>
    <col min="285" max="285" width="12.21875" style="263" customWidth="1"/>
    <col min="286" max="286" width="0" style="263" hidden="1" customWidth="1"/>
    <col min="287" max="287" width="11.88671875" style="263" customWidth="1"/>
    <col min="288" max="288" width="8.88671875" style="263" customWidth="1"/>
    <col min="289" max="289" width="12.33203125" style="263" customWidth="1"/>
    <col min="290" max="290" width="1.44140625" style="263" customWidth="1"/>
    <col min="291" max="291" width="10.77734375" style="263" customWidth="1"/>
    <col min="292" max="292" width="1.44140625" style="263" customWidth="1"/>
    <col min="293" max="293" width="8" style="263" customWidth="1"/>
    <col min="294" max="294" width="1.44140625" style="263" customWidth="1"/>
    <col min="295" max="295" width="17.77734375" style="263" customWidth="1"/>
    <col min="296" max="296" width="1.44140625" style="263" customWidth="1"/>
    <col min="297" max="297" width="17.77734375" style="263" customWidth="1"/>
    <col min="298" max="298" width="1.44140625" style="263" customWidth="1"/>
    <col min="299" max="507" width="8" style="263"/>
    <col min="508" max="508" width="1.44140625" style="263" customWidth="1"/>
    <col min="509" max="509" width="4.5546875" style="263" customWidth="1"/>
    <col min="510" max="510" width="9.21875" style="263" customWidth="1"/>
    <col min="511" max="511" width="14.109375" style="263" bestFit="1" customWidth="1"/>
    <col min="512" max="513" width="12.33203125" style="263" customWidth="1"/>
    <col min="514" max="514" width="13" style="263" bestFit="1" customWidth="1"/>
    <col min="515" max="515" width="14" style="263" customWidth="1"/>
    <col min="516" max="516" width="14.109375" style="263" bestFit="1" customWidth="1"/>
    <col min="517" max="518" width="12.33203125" style="263" customWidth="1"/>
    <col min="519" max="519" width="14.5546875" style="263" customWidth="1"/>
    <col min="520" max="520" width="14.44140625" style="263" customWidth="1"/>
    <col min="521" max="521" width="13.77734375" style="263" customWidth="1"/>
    <col min="522" max="524" width="13.109375" style="263" customWidth="1"/>
    <col min="525" max="525" width="14" style="263" customWidth="1"/>
    <col min="526" max="531" width="13.109375" style="263" customWidth="1"/>
    <col min="532" max="532" width="12.88671875" style="263" customWidth="1"/>
    <col min="533" max="533" width="10.5546875" style="263" customWidth="1"/>
    <col min="534" max="534" width="11.77734375" style="263" customWidth="1"/>
    <col min="535" max="535" width="13" style="263" bestFit="1" customWidth="1"/>
    <col min="536" max="536" width="11.77734375" style="263" customWidth="1"/>
    <col min="537" max="537" width="12.88671875" style="263" customWidth="1"/>
    <col min="538" max="538" width="13.109375" style="263" customWidth="1"/>
    <col min="539" max="539" width="11.33203125" style="263" customWidth="1"/>
    <col min="540" max="540" width="14.21875" style="263" customWidth="1"/>
    <col min="541" max="541" width="12.21875" style="263" customWidth="1"/>
    <col min="542" max="542" width="0" style="263" hidden="1" customWidth="1"/>
    <col min="543" max="543" width="11.88671875" style="263" customWidth="1"/>
    <col min="544" max="544" width="8.88671875" style="263" customWidth="1"/>
    <col min="545" max="545" width="12.33203125" style="263" customWidth="1"/>
    <col min="546" max="546" width="1.44140625" style="263" customWidth="1"/>
    <col min="547" max="547" width="10.77734375" style="263" customWidth="1"/>
    <col min="548" max="548" width="1.44140625" style="263" customWidth="1"/>
    <col min="549" max="549" width="8" style="263" customWidth="1"/>
    <col min="550" max="550" width="1.44140625" style="263" customWidth="1"/>
    <col min="551" max="551" width="17.77734375" style="263" customWidth="1"/>
    <col min="552" max="552" width="1.44140625" style="263" customWidth="1"/>
    <col min="553" max="553" width="17.77734375" style="263" customWidth="1"/>
    <col min="554" max="554" width="1.44140625" style="263" customWidth="1"/>
    <col min="555" max="763" width="8" style="263"/>
    <col min="764" max="764" width="1.44140625" style="263" customWidth="1"/>
    <col min="765" max="765" width="4.5546875" style="263" customWidth="1"/>
    <col min="766" max="766" width="9.21875" style="263" customWidth="1"/>
    <col min="767" max="767" width="14.109375" style="263" bestFit="1" customWidth="1"/>
    <col min="768" max="769" width="12.33203125" style="263" customWidth="1"/>
    <col min="770" max="770" width="13" style="263" bestFit="1" customWidth="1"/>
    <col min="771" max="771" width="14" style="263" customWidth="1"/>
    <col min="772" max="772" width="14.109375" style="263" bestFit="1" customWidth="1"/>
    <col min="773" max="774" width="12.33203125" style="263" customWidth="1"/>
    <col min="775" max="775" width="14.5546875" style="263" customWidth="1"/>
    <col min="776" max="776" width="14.44140625" style="263" customWidth="1"/>
    <col min="777" max="777" width="13.77734375" style="263" customWidth="1"/>
    <col min="778" max="780" width="13.109375" style="263" customWidth="1"/>
    <col min="781" max="781" width="14" style="263" customWidth="1"/>
    <col min="782" max="787" width="13.109375" style="263" customWidth="1"/>
    <col min="788" max="788" width="12.88671875" style="263" customWidth="1"/>
    <col min="789" max="789" width="10.5546875" style="263" customWidth="1"/>
    <col min="790" max="790" width="11.77734375" style="263" customWidth="1"/>
    <col min="791" max="791" width="13" style="263" bestFit="1" customWidth="1"/>
    <col min="792" max="792" width="11.77734375" style="263" customWidth="1"/>
    <col min="793" max="793" width="12.88671875" style="263" customWidth="1"/>
    <col min="794" max="794" width="13.109375" style="263" customWidth="1"/>
    <col min="795" max="795" width="11.33203125" style="263" customWidth="1"/>
    <col min="796" max="796" width="14.21875" style="263" customWidth="1"/>
    <col min="797" max="797" width="12.21875" style="263" customWidth="1"/>
    <col min="798" max="798" width="0" style="263" hidden="1" customWidth="1"/>
    <col min="799" max="799" width="11.88671875" style="263" customWidth="1"/>
    <col min="800" max="800" width="8.88671875" style="263" customWidth="1"/>
    <col min="801" max="801" width="12.33203125" style="263" customWidth="1"/>
    <col min="802" max="802" width="1.44140625" style="263" customWidth="1"/>
    <col min="803" max="803" width="10.77734375" style="263" customWidth="1"/>
    <col min="804" max="804" width="1.44140625" style="263" customWidth="1"/>
    <col min="805" max="805" width="8" style="263" customWidth="1"/>
    <col min="806" max="806" width="1.44140625" style="263" customWidth="1"/>
    <col min="807" max="807" width="17.77734375" style="263" customWidth="1"/>
    <col min="808" max="808" width="1.44140625" style="263" customWidth="1"/>
    <col min="809" max="809" width="17.77734375" style="263" customWidth="1"/>
    <col min="810" max="810" width="1.44140625" style="263" customWidth="1"/>
    <col min="811" max="1019" width="8" style="263"/>
    <col min="1020" max="1020" width="1.44140625" style="263" customWidth="1"/>
    <col min="1021" max="1021" width="4.5546875" style="263" customWidth="1"/>
    <col min="1022" max="1022" width="9.21875" style="263" customWidth="1"/>
    <col min="1023" max="1023" width="14.109375" style="263" bestFit="1" customWidth="1"/>
    <col min="1024" max="1025" width="12.33203125" style="263" customWidth="1"/>
    <col min="1026" max="1026" width="13" style="263" bestFit="1" customWidth="1"/>
    <col min="1027" max="1027" width="14" style="263" customWidth="1"/>
    <col min="1028" max="1028" width="14.109375" style="263" bestFit="1" customWidth="1"/>
    <col min="1029" max="1030" width="12.33203125" style="263" customWidth="1"/>
    <col min="1031" max="1031" width="14.5546875" style="263" customWidth="1"/>
    <col min="1032" max="1032" width="14.44140625" style="263" customWidth="1"/>
    <col min="1033" max="1033" width="13.77734375" style="263" customWidth="1"/>
    <col min="1034" max="1036" width="13.109375" style="263" customWidth="1"/>
    <col min="1037" max="1037" width="14" style="263" customWidth="1"/>
    <col min="1038" max="1043" width="13.109375" style="263" customWidth="1"/>
    <col min="1044" max="1044" width="12.88671875" style="263" customWidth="1"/>
    <col min="1045" max="1045" width="10.5546875" style="263" customWidth="1"/>
    <col min="1046" max="1046" width="11.77734375" style="263" customWidth="1"/>
    <col min="1047" max="1047" width="13" style="263" bestFit="1" customWidth="1"/>
    <col min="1048" max="1048" width="11.77734375" style="263" customWidth="1"/>
    <col min="1049" max="1049" width="12.88671875" style="263" customWidth="1"/>
    <col min="1050" max="1050" width="13.109375" style="263" customWidth="1"/>
    <col min="1051" max="1051" width="11.33203125" style="263" customWidth="1"/>
    <col min="1052" max="1052" width="14.21875" style="263" customWidth="1"/>
    <col min="1053" max="1053" width="12.21875" style="263" customWidth="1"/>
    <col min="1054" max="1054" width="0" style="263" hidden="1" customWidth="1"/>
    <col min="1055" max="1055" width="11.88671875" style="263" customWidth="1"/>
    <col min="1056" max="1056" width="8.88671875" style="263" customWidth="1"/>
    <col min="1057" max="1057" width="12.33203125" style="263" customWidth="1"/>
    <col min="1058" max="1058" width="1.44140625" style="263" customWidth="1"/>
    <col min="1059" max="1059" width="10.77734375" style="263" customWidth="1"/>
    <col min="1060" max="1060" width="1.44140625" style="263" customWidth="1"/>
    <col min="1061" max="1061" width="8" style="263" customWidth="1"/>
    <col min="1062" max="1062" width="1.44140625" style="263" customWidth="1"/>
    <col min="1063" max="1063" width="17.77734375" style="263" customWidth="1"/>
    <col min="1064" max="1064" width="1.44140625" style="263" customWidth="1"/>
    <col min="1065" max="1065" width="17.77734375" style="263" customWidth="1"/>
    <col min="1066" max="1066" width="1.44140625" style="263" customWidth="1"/>
    <col min="1067" max="1275" width="8" style="263"/>
    <col min="1276" max="1276" width="1.44140625" style="263" customWidth="1"/>
    <col min="1277" max="1277" width="4.5546875" style="263" customWidth="1"/>
    <col min="1278" max="1278" width="9.21875" style="263" customWidth="1"/>
    <col min="1279" max="1279" width="14.109375" style="263" bestFit="1" customWidth="1"/>
    <col min="1280" max="1281" width="12.33203125" style="263" customWidth="1"/>
    <col min="1282" max="1282" width="13" style="263" bestFit="1" customWidth="1"/>
    <col min="1283" max="1283" width="14" style="263" customWidth="1"/>
    <col min="1284" max="1284" width="14.109375" style="263" bestFit="1" customWidth="1"/>
    <col min="1285" max="1286" width="12.33203125" style="263" customWidth="1"/>
    <col min="1287" max="1287" width="14.5546875" style="263" customWidth="1"/>
    <col min="1288" max="1288" width="14.44140625" style="263" customWidth="1"/>
    <col min="1289" max="1289" width="13.77734375" style="263" customWidth="1"/>
    <col min="1290" max="1292" width="13.109375" style="263" customWidth="1"/>
    <col min="1293" max="1293" width="14" style="263" customWidth="1"/>
    <col min="1294" max="1299" width="13.109375" style="263" customWidth="1"/>
    <col min="1300" max="1300" width="12.88671875" style="263" customWidth="1"/>
    <col min="1301" max="1301" width="10.5546875" style="263" customWidth="1"/>
    <col min="1302" max="1302" width="11.77734375" style="263" customWidth="1"/>
    <col min="1303" max="1303" width="13" style="263" bestFit="1" customWidth="1"/>
    <col min="1304" max="1304" width="11.77734375" style="263" customWidth="1"/>
    <col min="1305" max="1305" width="12.88671875" style="263" customWidth="1"/>
    <col min="1306" max="1306" width="13.109375" style="263" customWidth="1"/>
    <col min="1307" max="1307" width="11.33203125" style="263" customWidth="1"/>
    <col min="1308" max="1308" width="14.21875" style="263" customWidth="1"/>
    <col min="1309" max="1309" width="12.21875" style="263" customWidth="1"/>
    <col min="1310" max="1310" width="0" style="263" hidden="1" customWidth="1"/>
    <col min="1311" max="1311" width="11.88671875" style="263" customWidth="1"/>
    <col min="1312" max="1312" width="8.88671875" style="263" customWidth="1"/>
    <col min="1313" max="1313" width="12.33203125" style="263" customWidth="1"/>
    <col min="1314" max="1314" width="1.44140625" style="263" customWidth="1"/>
    <col min="1315" max="1315" width="10.77734375" style="263" customWidth="1"/>
    <col min="1316" max="1316" width="1.44140625" style="263" customWidth="1"/>
    <col min="1317" max="1317" width="8" style="263" customWidth="1"/>
    <col min="1318" max="1318" width="1.44140625" style="263" customWidth="1"/>
    <col min="1319" max="1319" width="17.77734375" style="263" customWidth="1"/>
    <col min="1320" max="1320" width="1.44140625" style="263" customWidth="1"/>
    <col min="1321" max="1321" width="17.77734375" style="263" customWidth="1"/>
    <col min="1322" max="1322" width="1.44140625" style="263" customWidth="1"/>
    <col min="1323" max="1531" width="8" style="263"/>
    <col min="1532" max="1532" width="1.44140625" style="263" customWidth="1"/>
    <col min="1533" max="1533" width="4.5546875" style="263" customWidth="1"/>
    <col min="1534" max="1534" width="9.21875" style="263" customWidth="1"/>
    <col min="1535" max="1535" width="14.109375" style="263" bestFit="1" customWidth="1"/>
    <col min="1536" max="1537" width="12.33203125" style="263" customWidth="1"/>
    <col min="1538" max="1538" width="13" style="263" bestFit="1" customWidth="1"/>
    <col min="1539" max="1539" width="14" style="263" customWidth="1"/>
    <col min="1540" max="1540" width="14.109375" style="263" bestFit="1" customWidth="1"/>
    <col min="1541" max="1542" width="12.33203125" style="263" customWidth="1"/>
    <col min="1543" max="1543" width="14.5546875" style="263" customWidth="1"/>
    <col min="1544" max="1544" width="14.44140625" style="263" customWidth="1"/>
    <col min="1545" max="1545" width="13.77734375" style="263" customWidth="1"/>
    <col min="1546" max="1548" width="13.109375" style="263" customWidth="1"/>
    <col min="1549" max="1549" width="14" style="263" customWidth="1"/>
    <col min="1550" max="1555" width="13.109375" style="263" customWidth="1"/>
    <col min="1556" max="1556" width="12.88671875" style="263" customWidth="1"/>
    <col min="1557" max="1557" width="10.5546875" style="263" customWidth="1"/>
    <col min="1558" max="1558" width="11.77734375" style="263" customWidth="1"/>
    <col min="1559" max="1559" width="13" style="263" bestFit="1" customWidth="1"/>
    <col min="1560" max="1560" width="11.77734375" style="263" customWidth="1"/>
    <col min="1561" max="1561" width="12.88671875" style="263" customWidth="1"/>
    <col min="1562" max="1562" width="13.109375" style="263" customWidth="1"/>
    <col min="1563" max="1563" width="11.33203125" style="263" customWidth="1"/>
    <col min="1564" max="1564" width="14.21875" style="263" customWidth="1"/>
    <col min="1565" max="1565" width="12.21875" style="263" customWidth="1"/>
    <col min="1566" max="1566" width="0" style="263" hidden="1" customWidth="1"/>
    <col min="1567" max="1567" width="11.88671875" style="263" customWidth="1"/>
    <col min="1568" max="1568" width="8.88671875" style="263" customWidth="1"/>
    <col min="1569" max="1569" width="12.33203125" style="263" customWidth="1"/>
    <col min="1570" max="1570" width="1.44140625" style="263" customWidth="1"/>
    <col min="1571" max="1571" width="10.77734375" style="263" customWidth="1"/>
    <col min="1572" max="1572" width="1.44140625" style="263" customWidth="1"/>
    <col min="1573" max="1573" width="8" style="263" customWidth="1"/>
    <col min="1574" max="1574" width="1.44140625" style="263" customWidth="1"/>
    <col min="1575" max="1575" width="17.77734375" style="263" customWidth="1"/>
    <col min="1576" max="1576" width="1.44140625" style="263" customWidth="1"/>
    <col min="1577" max="1577" width="17.77734375" style="263" customWidth="1"/>
    <col min="1578" max="1578" width="1.44140625" style="263" customWidth="1"/>
    <col min="1579" max="1787" width="8" style="263"/>
    <col min="1788" max="1788" width="1.44140625" style="263" customWidth="1"/>
    <col min="1789" max="1789" width="4.5546875" style="263" customWidth="1"/>
    <col min="1790" max="1790" width="9.21875" style="263" customWidth="1"/>
    <col min="1791" max="1791" width="14.109375" style="263" bestFit="1" customWidth="1"/>
    <col min="1792" max="1793" width="12.33203125" style="263" customWidth="1"/>
    <col min="1794" max="1794" width="13" style="263" bestFit="1" customWidth="1"/>
    <col min="1795" max="1795" width="14" style="263" customWidth="1"/>
    <col min="1796" max="1796" width="14.109375" style="263" bestFit="1" customWidth="1"/>
    <col min="1797" max="1798" width="12.33203125" style="263" customWidth="1"/>
    <col min="1799" max="1799" width="14.5546875" style="263" customWidth="1"/>
    <col min="1800" max="1800" width="14.44140625" style="263" customWidth="1"/>
    <col min="1801" max="1801" width="13.77734375" style="263" customWidth="1"/>
    <col min="1802" max="1804" width="13.109375" style="263" customWidth="1"/>
    <col min="1805" max="1805" width="14" style="263" customWidth="1"/>
    <col min="1806" max="1811" width="13.109375" style="263" customWidth="1"/>
    <col min="1812" max="1812" width="12.88671875" style="263" customWidth="1"/>
    <col min="1813" max="1813" width="10.5546875" style="263" customWidth="1"/>
    <col min="1814" max="1814" width="11.77734375" style="263" customWidth="1"/>
    <col min="1815" max="1815" width="13" style="263" bestFit="1" customWidth="1"/>
    <col min="1816" max="1816" width="11.77734375" style="263" customWidth="1"/>
    <col min="1817" max="1817" width="12.88671875" style="263" customWidth="1"/>
    <col min="1818" max="1818" width="13.109375" style="263" customWidth="1"/>
    <col min="1819" max="1819" width="11.33203125" style="263" customWidth="1"/>
    <col min="1820" max="1820" width="14.21875" style="263" customWidth="1"/>
    <col min="1821" max="1821" width="12.21875" style="263" customWidth="1"/>
    <col min="1822" max="1822" width="0" style="263" hidden="1" customWidth="1"/>
    <col min="1823" max="1823" width="11.88671875" style="263" customWidth="1"/>
    <col min="1824" max="1824" width="8.88671875" style="263" customWidth="1"/>
    <col min="1825" max="1825" width="12.33203125" style="263" customWidth="1"/>
    <col min="1826" max="1826" width="1.44140625" style="263" customWidth="1"/>
    <col min="1827" max="1827" width="10.77734375" style="263" customWidth="1"/>
    <col min="1828" max="1828" width="1.44140625" style="263" customWidth="1"/>
    <col min="1829" max="1829" width="8" style="263" customWidth="1"/>
    <col min="1830" max="1830" width="1.44140625" style="263" customWidth="1"/>
    <col min="1831" max="1831" width="17.77734375" style="263" customWidth="1"/>
    <col min="1832" max="1832" width="1.44140625" style="263" customWidth="1"/>
    <col min="1833" max="1833" width="17.77734375" style="263" customWidth="1"/>
    <col min="1834" max="1834" width="1.44140625" style="263" customWidth="1"/>
    <col min="1835" max="2043" width="8" style="263"/>
    <col min="2044" max="2044" width="1.44140625" style="263" customWidth="1"/>
    <col min="2045" max="2045" width="4.5546875" style="263" customWidth="1"/>
    <col min="2046" max="2046" width="9.21875" style="263" customWidth="1"/>
    <col min="2047" max="2047" width="14.109375" style="263" bestFit="1" customWidth="1"/>
    <col min="2048" max="2049" width="12.33203125" style="263" customWidth="1"/>
    <col min="2050" max="2050" width="13" style="263" bestFit="1" customWidth="1"/>
    <col min="2051" max="2051" width="14" style="263" customWidth="1"/>
    <col min="2052" max="2052" width="14.109375" style="263" bestFit="1" customWidth="1"/>
    <col min="2053" max="2054" width="12.33203125" style="263" customWidth="1"/>
    <col min="2055" max="2055" width="14.5546875" style="263" customWidth="1"/>
    <col min="2056" max="2056" width="14.44140625" style="263" customWidth="1"/>
    <col min="2057" max="2057" width="13.77734375" style="263" customWidth="1"/>
    <col min="2058" max="2060" width="13.109375" style="263" customWidth="1"/>
    <col min="2061" max="2061" width="14" style="263" customWidth="1"/>
    <col min="2062" max="2067" width="13.109375" style="263" customWidth="1"/>
    <col min="2068" max="2068" width="12.88671875" style="263" customWidth="1"/>
    <col min="2069" max="2069" width="10.5546875" style="263" customWidth="1"/>
    <col min="2070" max="2070" width="11.77734375" style="263" customWidth="1"/>
    <col min="2071" max="2071" width="13" style="263" bestFit="1" customWidth="1"/>
    <col min="2072" max="2072" width="11.77734375" style="263" customWidth="1"/>
    <col min="2073" max="2073" width="12.88671875" style="263" customWidth="1"/>
    <col min="2074" max="2074" width="13.109375" style="263" customWidth="1"/>
    <col min="2075" max="2075" width="11.33203125" style="263" customWidth="1"/>
    <col min="2076" max="2076" width="14.21875" style="263" customWidth="1"/>
    <col min="2077" max="2077" width="12.21875" style="263" customWidth="1"/>
    <col min="2078" max="2078" width="0" style="263" hidden="1" customWidth="1"/>
    <col min="2079" max="2079" width="11.88671875" style="263" customWidth="1"/>
    <col min="2080" max="2080" width="8.88671875" style="263" customWidth="1"/>
    <col min="2081" max="2081" width="12.33203125" style="263" customWidth="1"/>
    <col min="2082" max="2082" width="1.44140625" style="263" customWidth="1"/>
    <col min="2083" max="2083" width="10.77734375" style="263" customWidth="1"/>
    <col min="2084" max="2084" width="1.44140625" style="263" customWidth="1"/>
    <col min="2085" max="2085" width="8" style="263" customWidth="1"/>
    <col min="2086" max="2086" width="1.44140625" style="263" customWidth="1"/>
    <col min="2087" max="2087" width="17.77734375" style="263" customWidth="1"/>
    <col min="2088" max="2088" width="1.44140625" style="263" customWidth="1"/>
    <col min="2089" max="2089" width="17.77734375" style="263" customWidth="1"/>
    <col min="2090" max="2090" width="1.44140625" style="263" customWidth="1"/>
    <col min="2091" max="2299" width="8" style="263"/>
    <col min="2300" max="2300" width="1.44140625" style="263" customWidth="1"/>
    <col min="2301" max="2301" width="4.5546875" style="263" customWidth="1"/>
    <col min="2302" max="2302" width="9.21875" style="263" customWidth="1"/>
    <col min="2303" max="2303" width="14.109375" style="263" bestFit="1" customWidth="1"/>
    <col min="2304" max="2305" width="12.33203125" style="263" customWidth="1"/>
    <col min="2306" max="2306" width="13" style="263" bestFit="1" customWidth="1"/>
    <col min="2307" max="2307" width="14" style="263" customWidth="1"/>
    <col min="2308" max="2308" width="14.109375" style="263" bestFit="1" customWidth="1"/>
    <col min="2309" max="2310" width="12.33203125" style="263" customWidth="1"/>
    <col min="2311" max="2311" width="14.5546875" style="263" customWidth="1"/>
    <col min="2312" max="2312" width="14.44140625" style="263" customWidth="1"/>
    <col min="2313" max="2313" width="13.77734375" style="263" customWidth="1"/>
    <col min="2314" max="2316" width="13.109375" style="263" customWidth="1"/>
    <col min="2317" max="2317" width="14" style="263" customWidth="1"/>
    <col min="2318" max="2323" width="13.109375" style="263" customWidth="1"/>
    <col min="2324" max="2324" width="12.88671875" style="263" customWidth="1"/>
    <col min="2325" max="2325" width="10.5546875" style="263" customWidth="1"/>
    <col min="2326" max="2326" width="11.77734375" style="263" customWidth="1"/>
    <col min="2327" max="2327" width="13" style="263" bestFit="1" customWidth="1"/>
    <col min="2328" max="2328" width="11.77734375" style="263" customWidth="1"/>
    <col min="2329" max="2329" width="12.88671875" style="263" customWidth="1"/>
    <col min="2330" max="2330" width="13.109375" style="263" customWidth="1"/>
    <col min="2331" max="2331" width="11.33203125" style="263" customWidth="1"/>
    <col min="2332" max="2332" width="14.21875" style="263" customWidth="1"/>
    <col min="2333" max="2333" width="12.21875" style="263" customWidth="1"/>
    <col min="2334" max="2334" width="0" style="263" hidden="1" customWidth="1"/>
    <col min="2335" max="2335" width="11.88671875" style="263" customWidth="1"/>
    <col min="2336" max="2336" width="8.88671875" style="263" customWidth="1"/>
    <col min="2337" max="2337" width="12.33203125" style="263" customWidth="1"/>
    <col min="2338" max="2338" width="1.44140625" style="263" customWidth="1"/>
    <col min="2339" max="2339" width="10.77734375" style="263" customWidth="1"/>
    <col min="2340" max="2340" width="1.44140625" style="263" customWidth="1"/>
    <col min="2341" max="2341" width="8" style="263" customWidth="1"/>
    <col min="2342" max="2342" width="1.44140625" style="263" customWidth="1"/>
    <col min="2343" max="2343" width="17.77734375" style="263" customWidth="1"/>
    <col min="2344" max="2344" width="1.44140625" style="263" customWidth="1"/>
    <col min="2345" max="2345" width="17.77734375" style="263" customWidth="1"/>
    <col min="2346" max="2346" width="1.44140625" style="263" customWidth="1"/>
    <col min="2347" max="2555" width="8" style="263"/>
    <col min="2556" max="2556" width="1.44140625" style="263" customWidth="1"/>
    <col min="2557" max="2557" width="4.5546875" style="263" customWidth="1"/>
    <col min="2558" max="2558" width="9.21875" style="263" customWidth="1"/>
    <col min="2559" max="2559" width="14.109375" style="263" bestFit="1" customWidth="1"/>
    <col min="2560" max="2561" width="12.33203125" style="263" customWidth="1"/>
    <col min="2562" max="2562" width="13" style="263" bestFit="1" customWidth="1"/>
    <col min="2563" max="2563" width="14" style="263" customWidth="1"/>
    <col min="2564" max="2564" width="14.109375" style="263" bestFit="1" customWidth="1"/>
    <col min="2565" max="2566" width="12.33203125" style="263" customWidth="1"/>
    <col min="2567" max="2567" width="14.5546875" style="263" customWidth="1"/>
    <col min="2568" max="2568" width="14.44140625" style="263" customWidth="1"/>
    <col min="2569" max="2569" width="13.77734375" style="263" customWidth="1"/>
    <col min="2570" max="2572" width="13.109375" style="263" customWidth="1"/>
    <col min="2573" max="2573" width="14" style="263" customWidth="1"/>
    <col min="2574" max="2579" width="13.109375" style="263" customWidth="1"/>
    <col min="2580" max="2580" width="12.88671875" style="263" customWidth="1"/>
    <col min="2581" max="2581" width="10.5546875" style="263" customWidth="1"/>
    <col min="2582" max="2582" width="11.77734375" style="263" customWidth="1"/>
    <col min="2583" max="2583" width="13" style="263" bestFit="1" customWidth="1"/>
    <col min="2584" max="2584" width="11.77734375" style="263" customWidth="1"/>
    <col min="2585" max="2585" width="12.88671875" style="263" customWidth="1"/>
    <col min="2586" max="2586" width="13.109375" style="263" customWidth="1"/>
    <col min="2587" max="2587" width="11.33203125" style="263" customWidth="1"/>
    <col min="2588" max="2588" width="14.21875" style="263" customWidth="1"/>
    <col min="2589" max="2589" width="12.21875" style="263" customWidth="1"/>
    <col min="2590" max="2590" width="0" style="263" hidden="1" customWidth="1"/>
    <col min="2591" max="2591" width="11.88671875" style="263" customWidth="1"/>
    <col min="2592" max="2592" width="8.88671875" style="263" customWidth="1"/>
    <col min="2593" max="2593" width="12.33203125" style="263" customWidth="1"/>
    <col min="2594" max="2594" width="1.44140625" style="263" customWidth="1"/>
    <col min="2595" max="2595" width="10.77734375" style="263" customWidth="1"/>
    <col min="2596" max="2596" width="1.44140625" style="263" customWidth="1"/>
    <col min="2597" max="2597" width="8" style="263" customWidth="1"/>
    <col min="2598" max="2598" width="1.44140625" style="263" customWidth="1"/>
    <col min="2599" max="2599" width="17.77734375" style="263" customWidth="1"/>
    <col min="2600" max="2600" width="1.44140625" style="263" customWidth="1"/>
    <col min="2601" max="2601" width="17.77734375" style="263" customWidth="1"/>
    <col min="2602" max="2602" width="1.44140625" style="263" customWidth="1"/>
    <col min="2603" max="2811" width="8" style="263"/>
    <col min="2812" max="2812" width="1.44140625" style="263" customWidth="1"/>
    <col min="2813" max="2813" width="4.5546875" style="263" customWidth="1"/>
    <col min="2814" max="2814" width="9.21875" style="263" customWidth="1"/>
    <col min="2815" max="2815" width="14.109375" style="263" bestFit="1" customWidth="1"/>
    <col min="2816" max="2817" width="12.33203125" style="263" customWidth="1"/>
    <col min="2818" max="2818" width="13" style="263" bestFit="1" customWidth="1"/>
    <col min="2819" max="2819" width="14" style="263" customWidth="1"/>
    <col min="2820" max="2820" width="14.109375" style="263" bestFit="1" customWidth="1"/>
    <col min="2821" max="2822" width="12.33203125" style="263" customWidth="1"/>
    <col min="2823" max="2823" width="14.5546875" style="263" customWidth="1"/>
    <col min="2824" max="2824" width="14.44140625" style="263" customWidth="1"/>
    <col min="2825" max="2825" width="13.77734375" style="263" customWidth="1"/>
    <col min="2826" max="2828" width="13.109375" style="263" customWidth="1"/>
    <col min="2829" max="2829" width="14" style="263" customWidth="1"/>
    <col min="2830" max="2835" width="13.109375" style="263" customWidth="1"/>
    <col min="2836" max="2836" width="12.88671875" style="263" customWidth="1"/>
    <col min="2837" max="2837" width="10.5546875" style="263" customWidth="1"/>
    <col min="2838" max="2838" width="11.77734375" style="263" customWidth="1"/>
    <col min="2839" max="2839" width="13" style="263" bestFit="1" customWidth="1"/>
    <col min="2840" max="2840" width="11.77734375" style="263" customWidth="1"/>
    <col min="2841" max="2841" width="12.88671875" style="263" customWidth="1"/>
    <col min="2842" max="2842" width="13.109375" style="263" customWidth="1"/>
    <col min="2843" max="2843" width="11.33203125" style="263" customWidth="1"/>
    <col min="2844" max="2844" width="14.21875" style="263" customWidth="1"/>
    <col min="2845" max="2845" width="12.21875" style="263" customWidth="1"/>
    <col min="2846" max="2846" width="0" style="263" hidden="1" customWidth="1"/>
    <col min="2847" max="2847" width="11.88671875" style="263" customWidth="1"/>
    <col min="2848" max="2848" width="8.88671875" style="263" customWidth="1"/>
    <col min="2849" max="2849" width="12.33203125" style="263" customWidth="1"/>
    <col min="2850" max="2850" width="1.44140625" style="263" customWidth="1"/>
    <col min="2851" max="2851" width="10.77734375" style="263" customWidth="1"/>
    <col min="2852" max="2852" width="1.44140625" style="263" customWidth="1"/>
    <col min="2853" max="2853" width="8" style="263" customWidth="1"/>
    <col min="2854" max="2854" width="1.44140625" style="263" customWidth="1"/>
    <col min="2855" max="2855" width="17.77734375" style="263" customWidth="1"/>
    <col min="2856" max="2856" width="1.44140625" style="263" customWidth="1"/>
    <col min="2857" max="2857" width="17.77734375" style="263" customWidth="1"/>
    <col min="2858" max="2858" width="1.44140625" style="263" customWidth="1"/>
    <col min="2859" max="3067" width="8" style="263"/>
    <col min="3068" max="3068" width="1.44140625" style="263" customWidth="1"/>
    <col min="3069" max="3069" width="4.5546875" style="263" customWidth="1"/>
    <col min="3070" max="3070" width="9.21875" style="263" customWidth="1"/>
    <col min="3071" max="3071" width="14.109375" style="263" bestFit="1" customWidth="1"/>
    <col min="3072" max="3073" width="12.33203125" style="263" customWidth="1"/>
    <col min="3074" max="3074" width="13" style="263" bestFit="1" customWidth="1"/>
    <col min="3075" max="3075" width="14" style="263" customWidth="1"/>
    <col min="3076" max="3076" width="14.109375" style="263" bestFit="1" customWidth="1"/>
    <col min="3077" max="3078" width="12.33203125" style="263" customWidth="1"/>
    <col min="3079" max="3079" width="14.5546875" style="263" customWidth="1"/>
    <col min="3080" max="3080" width="14.44140625" style="263" customWidth="1"/>
    <col min="3081" max="3081" width="13.77734375" style="263" customWidth="1"/>
    <col min="3082" max="3084" width="13.109375" style="263" customWidth="1"/>
    <col min="3085" max="3085" width="14" style="263" customWidth="1"/>
    <col min="3086" max="3091" width="13.109375" style="263" customWidth="1"/>
    <col min="3092" max="3092" width="12.88671875" style="263" customWidth="1"/>
    <col min="3093" max="3093" width="10.5546875" style="263" customWidth="1"/>
    <col min="3094" max="3094" width="11.77734375" style="263" customWidth="1"/>
    <col min="3095" max="3095" width="13" style="263" bestFit="1" customWidth="1"/>
    <col min="3096" max="3096" width="11.77734375" style="263" customWidth="1"/>
    <col min="3097" max="3097" width="12.88671875" style="263" customWidth="1"/>
    <col min="3098" max="3098" width="13.109375" style="263" customWidth="1"/>
    <col min="3099" max="3099" width="11.33203125" style="263" customWidth="1"/>
    <col min="3100" max="3100" width="14.21875" style="263" customWidth="1"/>
    <col min="3101" max="3101" width="12.21875" style="263" customWidth="1"/>
    <col min="3102" max="3102" width="0" style="263" hidden="1" customWidth="1"/>
    <col min="3103" max="3103" width="11.88671875" style="263" customWidth="1"/>
    <col min="3104" max="3104" width="8.88671875" style="263" customWidth="1"/>
    <col min="3105" max="3105" width="12.33203125" style="263" customWidth="1"/>
    <col min="3106" max="3106" width="1.44140625" style="263" customWidth="1"/>
    <col min="3107" max="3107" width="10.77734375" style="263" customWidth="1"/>
    <col min="3108" max="3108" width="1.44140625" style="263" customWidth="1"/>
    <col min="3109" max="3109" width="8" style="263" customWidth="1"/>
    <col min="3110" max="3110" width="1.44140625" style="263" customWidth="1"/>
    <col min="3111" max="3111" width="17.77734375" style="263" customWidth="1"/>
    <col min="3112" max="3112" width="1.44140625" style="263" customWidth="1"/>
    <col min="3113" max="3113" width="17.77734375" style="263" customWidth="1"/>
    <col min="3114" max="3114" width="1.44140625" style="263" customWidth="1"/>
    <col min="3115" max="3323" width="8" style="263"/>
    <col min="3324" max="3324" width="1.44140625" style="263" customWidth="1"/>
    <col min="3325" max="3325" width="4.5546875" style="263" customWidth="1"/>
    <col min="3326" max="3326" width="9.21875" style="263" customWidth="1"/>
    <col min="3327" max="3327" width="14.109375" style="263" bestFit="1" customWidth="1"/>
    <col min="3328" max="3329" width="12.33203125" style="263" customWidth="1"/>
    <col min="3330" max="3330" width="13" style="263" bestFit="1" customWidth="1"/>
    <col min="3331" max="3331" width="14" style="263" customWidth="1"/>
    <col min="3332" max="3332" width="14.109375" style="263" bestFit="1" customWidth="1"/>
    <col min="3333" max="3334" width="12.33203125" style="263" customWidth="1"/>
    <col min="3335" max="3335" width="14.5546875" style="263" customWidth="1"/>
    <col min="3336" max="3336" width="14.44140625" style="263" customWidth="1"/>
    <col min="3337" max="3337" width="13.77734375" style="263" customWidth="1"/>
    <col min="3338" max="3340" width="13.109375" style="263" customWidth="1"/>
    <col min="3341" max="3341" width="14" style="263" customWidth="1"/>
    <col min="3342" max="3347" width="13.109375" style="263" customWidth="1"/>
    <col min="3348" max="3348" width="12.88671875" style="263" customWidth="1"/>
    <col min="3349" max="3349" width="10.5546875" style="263" customWidth="1"/>
    <col min="3350" max="3350" width="11.77734375" style="263" customWidth="1"/>
    <col min="3351" max="3351" width="13" style="263" bestFit="1" customWidth="1"/>
    <col min="3352" max="3352" width="11.77734375" style="263" customWidth="1"/>
    <col min="3353" max="3353" width="12.88671875" style="263" customWidth="1"/>
    <col min="3354" max="3354" width="13.109375" style="263" customWidth="1"/>
    <col min="3355" max="3355" width="11.33203125" style="263" customWidth="1"/>
    <col min="3356" max="3356" width="14.21875" style="263" customWidth="1"/>
    <col min="3357" max="3357" width="12.21875" style="263" customWidth="1"/>
    <col min="3358" max="3358" width="0" style="263" hidden="1" customWidth="1"/>
    <col min="3359" max="3359" width="11.88671875" style="263" customWidth="1"/>
    <col min="3360" max="3360" width="8.88671875" style="263" customWidth="1"/>
    <col min="3361" max="3361" width="12.33203125" style="263" customWidth="1"/>
    <col min="3362" max="3362" width="1.44140625" style="263" customWidth="1"/>
    <col min="3363" max="3363" width="10.77734375" style="263" customWidth="1"/>
    <col min="3364" max="3364" width="1.44140625" style="263" customWidth="1"/>
    <col min="3365" max="3365" width="8" style="263" customWidth="1"/>
    <col min="3366" max="3366" width="1.44140625" style="263" customWidth="1"/>
    <col min="3367" max="3367" width="17.77734375" style="263" customWidth="1"/>
    <col min="3368" max="3368" width="1.44140625" style="263" customWidth="1"/>
    <col min="3369" max="3369" width="17.77734375" style="263" customWidth="1"/>
    <col min="3370" max="3370" width="1.44140625" style="263" customWidth="1"/>
    <col min="3371" max="3579" width="8" style="263"/>
    <col min="3580" max="3580" width="1.44140625" style="263" customWidth="1"/>
    <col min="3581" max="3581" width="4.5546875" style="263" customWidth="1"/>
    <col min="3582" max="3582" width="9.21875" style="263" customWidth="1"/>
    <col min="3583" max="3583" width="14.109375" style="263" bestFit="1" customWidth="1"/>
    <col min="3584" max="3585" width="12.33203125" style="263" customWidth="1"/>
    <col min="3586" max="3586" width="13" style="263" bestFit="1" customWidth="1"/>
    <col min="3587" max="3587" width="14" style="263" customWidth="1"/>
    <col min="3588" max="3588" width="14.109375" style="263" bestFit="1" customWidth="1"/>
    <col min="3589" max="3590" width="12.33203125" style="263" customWidth="1"/>
    <col min="3591" max="3591" width="14.5546875" style="263" customWidth="1"/>
    <col min="3592" max="3592" width="14.44140625" style="263" customWidth="1"/>
    <col min="3593" max="3593" width="13.77734375" style="263" customWidth="1"/>
    <col min="3594" max="3596" width="13.109375" style="263" customWidth="1"/>
    <col min="3597" max="3597" width="14" style="263" customWidth="1"/>
    <col min="3598" max="3603" width="13.109375" style="263" customWidth="1"/>
    <col min="3604" max="3604" width="12.88671875" style="263" customWidth="1"/>
    <col min="3605" max="3605" width="10.5546875" style="263" customWidth="1"/>
    <col min="3606" max="3606" width="11.77734375" style="263" customWidth="1"/>
    <col min="3607" max="3607" width="13" style="263" bestFit="1" customWidth="1"/>
    <col min="3608" max="3608" width="11.77734375" style="263" customWidth="1"/>
    <col min="3609" max="3609" width="12.88671875" style="263" customWidth="1"/>
    <col min="3610" max="3610" width="13.109375" style="263" customWidth="1"/>
    <col min="3611" max="3611" width="11.33203125" style="263" customWidth="1"/>
    <col min="3612" max="3612" width="14.21875" style="263" customWidth="1"/>
    <col min="3613" max="3613" width="12.21875" style="263" customWidth="1"/>
    <col min="3614" max="3614" width="0" style="263" hidden="1" customWidth="1"/>
    <col min="3615" max="3615" width="11.88671875" style="263" customWidth="1"/>
    <col min="3616" max="3616" width="8.88671875" style="263" customWidth="1"/>
    <col min="3617" max="3617" width="12.33203125" style="263" customWidth="1"/>
    <col min="3618" max="3618" width="1.44140625" style="263" customWidth="1"/>
    <col min="3619" max="3619" width="10.77734375" style="263" customWidth="1"/>
    <col min="3620" max="3620" width="1.44140625" style="263" customWidth="1"/>
    <col min="3621" max="3621" width="8" style="263" customWidth="1"/>
    <col min="3622" max="3622" width="1.44140625" style="263" customWidth="1"/>
    <col min="3623" max="3623" width="17.77734375" style="263" customWidth="1"/>
    <col min="3624" max="3624" width="1.44140625" style="263" customWidth="1"/>
    <col min="3625" max="3625" width="17.77734375" style="263" customWidth="1"/>
    <col min="3626" max="3626" width="1.44140625" style="263" customWidth="1"/>
    <col min="3627" max="3835" width="8" style="263"/>
    <col min="3836" max="3836" width="1.44140625" style="263" customWidth="1"/>
    <col min="3837" max="3837" width="4.5546875" style="263" customWidth="1"/>
    <col min="3838" max="3838" width="9.21875" style="263" customWidth="1"/>
    <col min="3839" max="3839" width="14.109375" style="263" bestFit="1" customWidth="1"/>
    <col min="3840" max="3841" width="12.33203125" style="263" customWidth="1"/>
    <col min="3842" max="3842" width="13" style="263" bestFit="1" customWidth="1"/>
    <col min="3843" max="3843" width="14" style="263" customWidth="1"/>
    <col min="3844" max="3844" width="14.109375" style="263" bestFit="1" customWidth="1"/>
    <col min="3845" max="3846" width="12.33203125" style="263" customWidth="1"/>
    <col min="3847" max="3847" width="14.5546875" style="263" customWidth="1"/>
    <col min="3848" max="3848" width="14.44140625" style="263" customWidth="1"/>
    <col min="3849" max="3849" width="13.77734375" style="263" customWidth="1"/>
    <col min="3850" max="3852" width="13.109375" style="263" customWidth="1"/>
    <col min="3853" max="3853" width="14" style="263" customWidth="1"/>
    <col min="3854" max="3859" width="13.109375" style="263" customWidth="1"/>
    <col min="3860" max="3860" width="12.88671875" style="263" customWidth="1"/>
    <col min="3861" max="3861" width="10.5546875" style="263" customWidth="1"/>
    <col min="3862" max="3862" width="11.77734375" style="263" customWidth="1"/>
    <col min="3863" max="3863" width="13" style="263" bestFit="1" customWidth="1"/>
    <col min="3864" max="3864" width="11.77734375" style="263" customWidth="1"/>
    <col min="3865" max="3865" width="12.88671875" style="263" customWidth="1"/>
    <col min="3866" max="3866" width="13.109375" style="263" customWidth="1"/>
    <col min="3867" max="3867" width="11.33203125" style="263" customWidth="1"/>
    <col min="3868" max="3868" width="14.21875" style="263" customWidth="1"/>
    <col min="3869" max="3869" width="12.21875" style="263" customWidth="1"/>
    <col min="3870" max="3870" width="0" style="263" hidden="1" customWidth="1"/>
    <col min="3871" max="3871" width="11.88671875" style="263" customWidth="1"/>
    <col min="3872" max="3872" width="8.88671875" style="263" customWidth="1"/>
    <col min="3873" max="3873" width="12.33203125" style="263" customWidth="1"/>
    <col min="3874" max="3874" width="1.44140625" style="263" customWidth="1"/>
    <col min="3875" max="3875" width="10.77734375" style="263" customWidth="1"/>
    <col min="3876" max="3876" width="1.44140625" style="263" customWidth="1"/>
    <col min="3877" max="3877" width="8" style="263" customWidth="1"/>
    <col min="3878" max="3878" width="1.44140625" style="263" customWidth="1"/>
    <col min="3879" max="3879" width="17.77734375" style="263" customWidth="1"/>
    <col min="3880" max="3880" width="1.44140625" style="263" customWidth="1"/>
    <col min="3881" max="3881" width="17.77734375" style="263" customWidth="1"/>
    <col min="3882" max="3882" width="1.44140625" style="263" customWidth="1"/>
    <col min="3883" max="4091" width="8" style="263"/>
    <col min="4092" max="4092" width="1.44140625" style="263" customWidth="1"/>
    <col min="4093" max="4093" width="4.5546875" style="263" customWidth="1"/>
    <col min="4094" max="4094" width="9.21875" style="263" customWidth="1"/>
    <col min="4095" max="4095" width="14.109375" style="263" bestFit="1" customWidth="1"/>
    <col min="4096" max="4097" width="12.33203125" style="263" customWidth="1"/>
    <col min="4098" max="4098" width="13" style="263" bestFit="1" customWidth="1"/>
    <col min="4099" max="4099" width="14" style="263" customWidth="1"/>
    <col min="4100" max="4100" width="14.109375" style="263" bestFit="1" customWidth="1"/>
    <col min="4101" max="4102" width="12.33203125" style="263" customWidth="1"/>
    <col min="4103" max="4103" width="14.5546875" style="263" customWidth="1"/>
    <col min="4104" max="4104" width="14.44140625" style="263" customWidth="1"/>
    <col min="4105" max="4105" width="13.77734375" style="263" customWidth="1"/>
    <col min="4106" max="4108" width="13.109375" style="263" customWidth="1"/>
    <col min="4109" max="4109" width="14" style="263" customWidth="1"/>
    <col min="4110" max="4115" width="13.109375" style="263" customWidth="1"/>
    <col min="4116" max="4116" width="12.88671875" style="263" customWidth="1"/>
    <col min="4117" max="4117" width="10.5546875" style="263" customWidth="1"/>
    <col min="4118" max="4118" width="11.77734375" style="263" customWidth="1"/>
    <col min="4119" max="4119" width="13" style="263" bestFit="1" customWidth="1"/>
    <col min="4120" max="4120" width="11.77734375" style="263" customWidth="1"/>
    <col min="4121" max="4121" width="12.88671875" style="263" customWidth="1"/>
    <col min="4122" max="4122" width="13.109375" style="263" customWidth="1"/>
    <col min="4123" max="4123" width="11.33203125" style="263" customWidth="1"/>
    <col min="4124" max="4124" width="14.21875" style="263" customWidth="1"/>
    <col min="4125" max="4125" width="12.21875" style="263" customWidth="1"/>
    <col min="4126" max="4126" width="0" style="263" hidden="1" customWidth="1"/>
    <col min="4127" max="4127" width="11.88671875" style="263" customWidth="1"/>
    <col min="4128" max="4128" width="8.88671875" style="263" customWidth="1"/>
    <col min="4129" max="4129" width="12.33203125" style="263" customWidth="1"/>
    <col min="4130" max="4130" width="1.44140625" style="263" customWidth="1"/>
    <col min="4131" max="4131" width="10.77734375" style="263" customWidth="1"/>
    <col min="4132" max="4132" width="1.44140625" style="263" customWidth="1"/>
    <col min="4133" max="4133" width="8" style="263" customWidth="1"/>
    <col min="4134" max="4134" width="1.44140625" style="263" customWidth="1"/>
    <col min="4135" max="4135" width="17.77734375" style="263" customWidth="1"/>
    <col min="4136" max="4136" width="1.44140625" style="263" customWidth="1"/>
    <col min="4137" max="4137" width="17.77734375" style="263" customWidth="1"/>
    <col min="4138" max="4138" width="1.44140625" style="263" customWidth="1"/>
    <col min="4139" max="4347" width="8" style="263"/>
    <col min="4348" max="4348" width="1.44140625" style="263" customWidth="1"/>
    <col min="4349" max="4349" width="4.5546875" style="263" customWidth="1"/>
    <col min="4350" max="4350" width="9.21875" style="263" customWidth="1"/>
    <col min="4351" max="4351" width="14.109375" style="263" bestFit="1" customWidth="1"/>
    <col min="4352" max="4353" width="12.33203125" style="263" customWidth="1"/>
    <col min="4354" max="4354" width="13" style="263" bestFit="1" customWidth="1"/>
    <col min="4355" max="4355" width="14" style="263" customWidth="1"/>
    <col min="4356" max="4356" width="14.109375" style="263" bestFit="1" customWidth="1"/>
    <col min="4357" max="4358" width="12.33203125" style="263" customWidth="1"/>
    <col min="4359" max="4359" width="14.5546875" style="263" customWidth="1"/>
    <col min="4360" max="4360" width="14.44140625" style="263" customWidth="1"/>
    <col min="4361" max="4361" width="13.77734375" style="263" customWidth="1"/>
    <col min="4362" max="4364" width="13.109375" style="263" customWidth="1"/>
    <col min="4365" max="4365" width="14" style="263" customWidth="1"/>
    <col min="4366" max="4371" width="13.109375" style="263" customWidth="1"/>
    <col min="4372" max="4372" width="12.88671875" style="263" customWidth="1"/>
    <col min="4373" max="4373" width="10.5546875" style="263" customWidth="1"/>
    <col min="4374" max="4374" width="11.77734375" style="263" customWidth="1"/>
    <col min="4375" max="4375" width="13" style="263" bestFit="1" customWidth="1"/>
    <col min="4376" max="4376" width="11.77734375" style="263" customWidth="1"/>
    <col min="4377" max="4377" width="12.88671875" style="263" customWidth="1"/>
    <col min="4378" max="4378" width="13.109375" style="263" customWidth="1"/>
    <col min="4379" max="4379" width="11.33203125" style="263" customWidth="1"/>
    <col min="4380" max="4380" width="14.21875" style="263" customWidth="1"/>
    <col min="4381" max="4381" width="12.21875" style="263" customWidth="1"/>
    <col min="4382" max="4382" width="0" style="263" hidden="1" customWidth="1"/>
    <col min="4383" max="4383" width="11.88671875" style="263" customWidth="1"/>
    <col min="4384" max="4384" width="8.88671875" style="263" customWidth="1"/>
    <col min="4385" max="4385" width="12.33203125" style="263" customWidth="1"/>
    <col min="4386" max="4386" width="1.44140625" style="263" customWidth="1"/>
    <col min="4387" max="4387" width="10.77734375" style="263" customWidth="1"/>
    <col min="4388" max="4388" width="1.44140625" style="263" customWidth="1"/>
    <col min="4389" max="4389" width="8" style="263" customWidth="1"/>
    <col min="4390" max="4390" width="1.44140625" style="263" customWidth="1"/>
    <col min="4391" max="4391" width="17.77734375" style="263" customWidth="1"/>
    <col min="4392" max="4392" width="1.44140625" style="263" customWidth="1"/>
    <col min="4393" max="4393" width="17.77734375" style="263" customWidth="1"/>
    <col min="4394" max="4394" width="1.44140625" style="263" customWidth="1"/>
    <col min="4395" max="4603" width="8" style="263"/>
    <col min="4604" max="4604" width="1.44140625" style="263" customWidth="1"/>
    <col min="4605" max="4605" width="4.5546875" style="263" customWidth="1"/>
    <col min="4606" max="4606" width="9.21875" style="263" customWidth="1"/>
    <col min="4607" max="4607" width="14.109375" style="263" bestFit="1" customWidth="1"/>
    <col min="4608" max="4609" width="12.33203125" style="263" customWidth="1"/>
    <col min="4610" max="4610" width="13" style="263" bestFit="1" customWidth="1"/>
    <col min="4611" max="4611" width="14" style="263" customWidth="1"/>
    <col min="4612" max="4612" width="14.109375" style="263" bestFit="1" customWidth="1"/>
    <col min="4613" max="4614" width="12.33203125" style="263" customWidth="1"/>
    <col min="4615" max="4615" width="14.5546875" style="263" customWidth="1"/>
    <col min="4616" max="4616" width="14.44140625" style="263" customWidth="1"/>
    <col min="4617" max="4617" width="13.77734375" style="263" customWidth="1"/>
    <col min="4618" max="4620" width="13.109375" style="263" customWidth="1"/>
    <col min="4621" max="4621" width="14" style="263" customWidth="1"/>
    <col min="4622" max="4627" width="13.109375" style="263" customWidth="1"/>
    <col min="4628" max="4628" width="12.88671875" style="263" customWidth="1"/>
    <col min="4629" max="4629" width="10.5546875" style="263" customWidth="1"/>
    <col min="4630" max="4630" width="11.77734375" style="263" customWidth="1"/>
    <col min="4631" max="4631" width="13" style="263" bestFit="1" customWidth="1"/>
    <col min="4632" max="4632" width="11.77734375" style="263" customWidth="1"/>
    <col min="4633" max="4633" width="12.88671875" style="263" customWidth="1"/>
    <col min="4634" max="4634" width="13.109375" style="263" customWidth="1"/>
    <col min="4635" max="4635" width="11.33203125" style="263" customWidth="1"/>
    <col min="4636" max="4636" width="14.21875" style="263" customWidth="1"/>
    <col min="4637" max="4637" width="12.21875" style="263" customWidth="1"/>
    <col min="4638" max="4638" width="0" style="263" hidden="1" customWidth="1"/>
    <col min="4639" max="4639" width="11.88671875" style="263" customWidth="1"/>
    <col min="4640" max="4640" width="8.88671875" style="263" customWidth="1"/>
    <col min="4641" max="4641" width="12.33203125" style="263" customWidth="1"/>
    <col min="4642" max="4642" width="1.44140625" style="263" customWidth="1"/>
    <col min="4643" max="4643" width="10.77734375" style="263" customWidth="1"/>
    <col min="4644" max="4644" width="1.44140625" style="263" customWidth="1"/>
    <col min="4645" max="4645" width="8" style="263" customWidth="1"/>
    <col min="4646" max="4646" width="1.44140625" style="263" customWidth="1"/>
    <col min="4647" max="4647" width="17.77734375" style="263" customWidth="1"/>
    <col min="4648" max="4648" width="1.44140625" style="263" customWidth="1"/>
    <col min="4649" max="4649" width="17.77734375" style="263" customWidth="1"/>
    <col min="4650" max="4650" width="1.44140625" style="263" customWidth="1"/>
    <col min="4651" max="4859" width="8" style="263"/>
    <col min="4860" max="4860" width="1.44140625" style="263" customWidth="1"/>
    <col min="4861" max="4861" width="4.5546875" style="263" customWidth="1"/>
    <col min="4862" max="4862" width="9.21875" style="263" customWidth="1"/>
    <col min="4863" max="4863" width="14.109375" style="263" bestFit="1" customWidth="1"/>
    <col min="4864" max="4865" width="12.33203125" style="263" customWidth="1"/>
    <col min="4866" max="4866" width="13" style="263" bestFit="1" customWidth="1"/>
    <col min="4867" max="4867" width="14" style="263" customWidth="1"/>
    <col min="4868" max="4868" width="14.109375" style="263" bestFit="1" customWidth="1"/>
    <col min="4869" max="4870" width="12.33203125" style="263" customWidth="1"/>
    <col min="4871" max="4871" width="14.5546875" style="263" customWidth="1"/>
    <col min="4872" max="4872" width="14.44140625" style="263" customWidth="1"/>
    <col min="4873" max="4873" width="13.77734375" style="263" customWidth="1"/>
    <col min="4874" max="4876" width="13.109375" style="263" customWidth="1"/>
    <col min="4877" max="4877" width="14" style="263" customWidth="1"/>
    <col min="4878" max="4883" width="13.109375" style="263" customWidth="1"/>
    <col min="4884" max="4884" width="12.88671875" style="263" customWidth="1"/>
    <col min="4885" max="4885" width="10.5546875" style="263" customWidth="1"/>
    <col min="4886" max="4886" width="11.77734375" style="263" customWidth="1"/>
    <col min="4887" max="4887" width="13" style="263" bestFit="1" customWidth="1"/>
    <col min="4888" max="4888" width="11.77734375" style="263" customWidth="1"/>
    <col min="4889" max="4889" width="12.88671875" style="263" customWidth="1"/>
    <col min="4890" max="4890" width="13.109375" style="263" customWidth="1"/>
    <col min="4891" max="4891" width="11.33203125" style="263" customWidth="1"/>
    <col min="4892" max="4892" width="14.21875" style="263" customWidth="1"/>
    <col min="4893" max="4893" width="12.21875" style="263" customWidth="1"/>
    <col min="4894" max="4894" width="0" style="263" hidden="1" customWidth="1"/>
    <col min="4895" max="4895" width="11.88671875" style="263" customWidth="1"/>
    <col min="4896" max="4896" width="8.88671875" style="263" customWidth="1"/>
    <col min="4897" max="4897" width="12.33203125" style="263" customWidth="1"/>
    <col min="4898" max="4898" width="1.44140625" style="263" customWidth="1"/>
    <col min="4899" max="4899" width="10.77734375" style="263" customWidth="1"/>
    <col min="4900" max="4900" width="1.44140625" style="263" customWidth="1"/>
    <col min="4901" max="4901" width="8" style="263" customWidth="1"/>
    <col min="4902" max="4902" width="1.44140625" style="263" customWidth="1"/>
    <col min="4903" max="4903" width="17.77734375" style="263" customWidth="1"/>
    <col min="4904" max="4904" width="1.44140625" style="263" customWidth="1"/>
    <col min="4905" max="4905" width="17.77734375" style="263" customWidth="1"/>
    <col min="4906" max="4906" width="1.44140625" style="263" customWidth="1"/>
    <col min="4907" max="5115" width="8" style="263"/>
    <col min="5116" max="5116" width="1.44140625" style="263" customWidth="1"/>
    <col min="5117" max="5117" width="4.5546875" style="263" customWidth="1"/>
    <col min="5118" max="5118" width="9.21875" style="263" customWidth="1"/>
    <col min="5119" max="5119" width="14.109375" style="263" bestFit="1" customWidth="1"/>
    <col min="5120" max="5121" width="12.33203125" style="263" customWidth="1"/>
    <col min="5122" max="5122" width="13" style="263" bestFit="1" customWidth="1"/>
    <col min="5123" max="5123" width="14" style="263" customWidth="1"/>
    <col min="5124" max="5124" width="14.109375" style="263" bestFit="1" customWidth="1"/>
    <col min="5125" max="5126" width="12.33203125" style="263" customWidth="1"/>
    <col min="5127" max="5127" width="14.5546875" style="263" customWidth="1"/>
    <col min="5128" max="5128" width="14.44140625" style="263" customWidth="1"/>
    <col min="5129" max="5129" width="13.77734375" style="263" customWidth="1"/>
    <col min="5130" max="5132" width="13.109375" style="263" customWidth="1"/>
    <col min="5133" max="5133" width="14" style="263" customWidth="1"/>
    <col min="5134" max="5139" width="13.109375" style="263" customWidth="1"/>
    <col min="5140" max="5140" width="12.88671875" style="263" customWidth="1"/>
    <col min="5141" max="5141" width="10.5546875" style="263" customWidth="1"/>
    <col min="5142" max="5142" width="11.77734375" style="263" customWidth="1"/>
    <col min="5143" max="5143" width="13" style="263" bestFit="1" customWidth="1"/>
    <col min="5144" max="5144" width="11.77734375" style="263" customWidth="1"/>
    <col min="5145" max="5145" width="12.88671875" style="263" customWidth="1"/>
    <col min="5146" max="5146" width="13.109375" style="263" customWidth="1"/>
    <col min="5147" max="5147" width="11.33203125" style="263" customWidth="1"/>
    <col min="5148" max="5148" width="14.21875" style="263" customWidth="1"/>
    <col min="5149" max="5149" width="12.21875" style="263" customWidth="1"/>
    <col min="5150" max="5150" width="0" style="263" hidden="1" customWidth="1"/>
    <col min="5151" max="5151" width="11.88671875" style="263" customWidth="1"/>
    <col min="5152" max="5152" width="8.88671875" style="263" customWidth="1"/>
    <col min="5153" max="5153" width="12.33203125" style="263" customWidth="1"/>
    <col min="5154" max="5154" width="1.44140625" style="263" customWidth="1"/>
    <col min="5155" max="5155" width="10.77734375" style="263" customWidth="1"/>
    <col min="5156" max="5156" width="1.44140625" style="263" customWidth="1"/>
    <col min="5157" max="5157" width="8" style="263" customWidth="1"/>
    <col min="5158" max="5158" width="1.44140625" style="263" customWidth="1"/>
    <col min="5159" max="5159" width="17.77734375" style="263" customWidth="1"/>
    <col min="5160" max="5160" width="1.44140625" style="263" customWidth="1"/>
    <col min="5161" max="5161" width="17.77734375" style="263" customWidth="1"/>
    <col min="5162" max="5162" width="1.44140625" style="263" customWidth="1"/>
    <col min="5163" max="5371" width="8" style="263"/>
    <col min="5372" max="5372" width="1.44140625" style="263" customWidth="1"/>
    <col min="5373" max="5373" width="4.5546875" style="263" customWidth="1"/>
    <col min="5374" max="5374" width="9.21875" style="263" customWidth="1"/>
    <col min="5375" max="5375" width="14.109375" style="263" bestFit="1" customWidth="1"/>
    <col min="5376" max="5377" width="12.33203125" style="263" customWidth="1"/>
    <col min="5378" max="5378" width="13" style="263" bestFit="1" customWidth="1"/>
    <col min="5379" max="5379" width="14" style="263" customWidth="1"/>
    <col min="5380" max="5380" width="14.109375" style="263" bestFit="1" customWidth="1"/>
    <col min="5381" max="5382" width="12.33203125" style="263" customWidth="1"/>
    <col min="5383" max="5383" width="14.5546875" style="263" customWidth="1"/>
    <col min="5384" max="5384" width="14.44140625" style="263" customWidth="1"/>
    <col min="5385" max="5385" width="13.77734375" style="263" customWidth="1"/>
    <col min="5386" max="5388" width="13.109375" style="263" customWidth="1"/>
    <col min="5389" max="5389" width="14" style="263" customWidth="1"/>
    <col min="5390" max="5395" width="13.109375" style="263" customWidth="1"/>
    <col min="5396" max="5396" width="12.88671875" style="263" customWidth="1"/>
    <col min="5397" max="5397" width="10.5546875" style="263" customWidth="1"/>
    <col min="5398" max="5398" width="11.77734375" style="263" customWidth="1"/>
    <col min="5399" max="5399" width="13" style="263" bestFit="1" customWidth="1"/>
    <col min="5400" max="5400" width="11.77734375" style="263" customWidth="1"/>
    <col min="5401" max="5401" width="12.88671875" style="263" customWidth="1"/>
    <col min="5402" max="5402" width="13.109375" style="263" customWidth="1"/>
    <col min="5403" max="5403" width="11.33203125" style="263" customWidth="1"/>
    <col min="5404" max="5404" width="14.21875" style="263" customWidth="1"/>
    <col min="5405" max="5405" width="12.21875" style="263" customWidth="1"/>
    <col min="5406" max="5406" width="0" style="263" hidden="1" customWidth="1"/>
    <col min="5407" max="5407" width="11.88671875" style="263" customWidth="1"/>
    <col min="5408" max="5408" width="8.88671875" style="263" customWidth="1"/>
    <col min="5409" max="5409" width="12.33203125" style="263" customWidth="1"/>
    <col min="5410" max="5410" width="1.44140625" style="263" customWidth="1"/>
    <col min="5411" max="5411" width="10.77734375" style="263" customWidth="1"/>
    <col min="5412" max="5412" width="1.44140625" style="263" customWidth="1"/>
    <col min="5413" max="5413" width="8" style="263" customWidth="1"/>
    <col min="5414" max="5414" width="1.44140625" style="263" customWidth="1"/>
    <col min="5415" max="5415" width="17.77734375" style="263" customWidth="1"/>
    <col min="5416" max="5416" width="1.44140625" style="263" customWidth="1"/>
    <col min="5417" max="5417" width="17.77734375" style="263" customWidth="1"/>
    <col min="5418" max="5418" width="1.44140625" style="263" customWidth="1"/>
    <col min="5419" max="5627" width="8" style="263"/>
    <col min="5628" max="5628" width="1.44140625" style="263" customWidth="1"/>
    <col min="5629" max="5629" width="4.5546875" style="263" customWidth="1"/>
    <col min="5630" max="5630" width="9.21875" style="263" customWidth="1"/>
    <col min="5631" max="5631" width="14.109375" style="263" bestFit="1" customWidth="1"/>
    <col min="5632" max="5633" width="12.33203125" style="263" customWidth="1"/>
    <col min="5634" max="5634" width="13" style="263" bestFit="1" customWidth="1"/>
    <col min="5635" max="5635" width="14" style="263" customWidth="1"/>
    <col min="5636" max="5636" width="14.109375" style="263" bestFit="1" customWidth="1"/>
    <col min="5637" max="5638" width="12.33203125" style="263" customWidth="1"/>
    <col min="5639" max="5639" width="14.5546875" style="263" customWidth="1"/>
    <col min="5640" max="5640" width="14.44140625" style="263" customWidth="1"/>
    <col min="5641" max="5641" width="13.77734375" style="263" customWidth="1"/>
    <col min="5642" max="5644" width="13.109375" style="263" customWidth="1"/>
    <col min="5645" max="5645" width="14" style="263" customWidth="1"/>
    <col min="5646" max="5651" width="13.109375" style="263" customWidth="1"/>
    <col min="5652" max="5652" width="12.88671875" style="263" customWidth="1"/>
    <col min="5653" max="5653" width="10.5546875" style="263" customWidth="1"/>
    <col min="5654" max="5654" width="11.77734375" style="263" customWidth="1"/>
    <col min="5655" max="5655" width="13" style="263" bestFit="1" customWidth="1"/>
    <col min="5656" max="5656" width="11.77734375" style="263" customWidth="1"/>
    <col min="5657" max="5657" width="12.88671875" style="263" customWidth="1"/>
    <col min="5658" max="5658" width="13.109375" style="263" customWidth="1"/>
    <col min="5659" max="5659" width="11.33203125" style="263" customWidth="1"/>
    <col min="5660" max="5660" width="14.21875" style="263" customWidth="1"/>
    <col min="5661" max="5661" width="12.21875" style="263" customWidth="1"/>
    <col min="5662" max="5662" width="0" style="263" hidden="1" customWidth="1"/>
    <col min="5663" max="5663" width="11.88671875" style="263" customWidth="1"/>
    <col min="5664" max="5664" width="8.88671875" style="263" customWidth="1"/>
    <col min="5665" max="5665" width="12.33203125" style="263" customWidth="1"/>
    <col min="5666" max="5666" width="1.44140625" style="263" customWidth="1"/>
    <col min="5667" max="5667" width="10.77734375" style="263" customWidth="1"/>
    <col min="5668" max="5668" width="1.44140625" style="263" customWidth="1"/>
    <col min="5669" max="5669" width="8" style="263" customWidth="1"/>
    <col min="5670" max="5670" width="1.44140625" style="263" customWidth="1"/>
    <col min="5671" max="5671" width="17.77734375" style="263" customWidth="1"/>
    <col min="5672" max="5672" width="1.44140625" style="263" customWidth="1"/>
    <col min="5673" max="5673" width="17.77734375" style="263" customWidth="1"/>
    <col min="5674" max="5674" width="1.44140625" style="263" customWidth="1"/>
    <col min="5675" max="5883" width="8" style="263"/>
    <col min="5884" max="5884" width="1.44140625" style="263" customWidth="1"/>
    <col min="5885" max="5885" width="4.5546875" style="263" customWidth="1"/>
    <col min="5886" max="5886" width="9.21875" style="263" customWidth="1"/>
    <col min="5887" max="5887" width="14.109375" style="263" bestFit="1" customWidth="1"/>
    <col min="5888" max="5889" width="12.33203125" style="263" customWidth="1"/>
    <col min="5890" max="5890" width="13" style="263" bestFit="1" customWidth="1"/>
    <col min="5891" max="5891" width="14" style="263" customWidth="1"/>
    <col min="5892" max="5892" width="14.109375" style="263" bestFit="1" customWidth="1"/>
    <col min="5893" max="5894" width="12.33203125" style="263" customWidth="1"/>
    <col min="5895" max="5895" width="14.5546875" style="263" customWidth="1"/>
    <col min="5896" max="5896" width="14.44140625" style="263" customWidth="1"/>
    <col min="5897" max="5897" width="13.77734375" style="263" customWidth="1"/>
    <col min="5898" max="5900" width="13.109375" style="263" customWidth="1"/>
    <col min="5901" max="5901" width="14" style="263" customWidth="1"/>
    <col min="5902" max="5907" width="13.109375" style="263" customWidth="1"/>
    <col min="5908" max="5908" width="12.88671875" style="263" customWidth="1"/>
    <col min="5909" max="5909" width="10.5546875" style="263" customWidth="1"/>
    <col min="5910" max="5910" width="11.77734375" style="263" customWidth="1"/>
    <col min="5911" max="5911" width="13" style="263" bestFit="1" customWidth="1"/>
    <col min="5912" max="5912" width="11.77734375" style="263" customWidth="1"/>
    <col min="5913" max="5913" width="12.88671875" style="263" customWidth="1"/>
    <col min="5914" max="5914" width="13.109375" style="263" customWidth="1"/>
    <col min="5915" max="5915" width="11.33203125" style="263" customWidth="1"/>
    <col min="5916" max="5916" width="14.21875" style="263" customWidth="1"/>
    <col min="5917" max="5917" width="12.21875" style="263" customWidth="1"/>
    <col min="5918" max="5918" width="0" style="263" hidden="1" customWidth="1"/>
    <col min="5919" max="5919" width="11.88671875" style="263" customWidth="1"/>
    <col min="5920" max="5920" width="8.88671875" style="263" customWidth="1"/>
    <col min="5921" max="5921" width="12.33203125" style="263" customWidth="1"/>
    <col min="5922" max="5922" width="1.44140625" style="263" customWidth="1"/>
    <col min="5923" max="5923" width="10.77734375" style="263" customWidth="1"/>
    <col min="5924" max="5924" width="1.44140625" style="263" customWidth="1"/>
    <col min="5925" max="5925" width="8" style="263" customWidth="1"/>
    <col min="5926" max="5926" width="1.44140625" style="263" customWidth="1"/>
    <col min="5927" max="5927" width="17.77734375" style="263" customWidth="1"/>
    <col min="5928" max="5928" width="1.44140625" style="263" customWidth="1"/>
    <col min="5929" max="5929" width="17.77734375" style="263" customWidth="1"/>
    <col min="5930" max="5930" width="1.44140625" style="263" customWidth="1"/>
    <col min="5931" max="6139" width="8" style="263"/>
    <col min="6140" max="6140" width="1.44140625" style="263" customWidth="1"/>
    <col min="6141" max="6141" width="4.5546875" style="263" customWidth="1"/>
    <col min="6142" max="6142" width="9.21875" style="263" customWidth="1"/>
    <col min="6143" max="6143" width="14.109375" style="263" bestFit="1" customWidth="1"/>
    <col min="6144" max="6145" width="12.33203125" style="263" customWidth="1"/>
    <col min="6146" max="6146" width="13" style="263" bestFit="1" customWidth="1"/>
    <col min="6147" max="6147" width="14" style="263" customWidth="1"/>
    <col min="6148" max="6148" width="14.109375" style="263" bestFit="1" customWidth="1"/>
    <col min="6149" max="6150" width="12.33203125" style="263" customWidth="1"/>
    <col min="6151" max="6151" width="14.5546875" style="263" customWidth="1"/>
    <col min="6152" max="6152" width="14.44140625" style="263" customWidth="1"/>
    <col min="6153" max="6153" width="13.77734375" style="263" customWidth="1"/>
    <col min="6154" max="6156" width="13.109375" style="263" customWidth="1"/>
    <col min="6157" max="6157" width="14" style="263" customWidth="1"/>
    <col min="6158" max="6163" width="13.109375" style="263" customWidth="1"/>
    <col min="6164" max="6164" width="12.88671875" style="263" customWidth="1"/>
    <col min="6165" max="6165" width="10.5546875" style="263" customWidth="1"/>
    <col min="6166" max="6166" width="11.77734375" style="263" customWidth="1"/>
    <col min="6167" max="6167" width="13" style="263" bestFit="1" customWidth="1"/>
    <col min="6168" max="6168" width="11.77734375" style="263" customWidth="1"/>
    <col min="6169" max="6169" width="12.88671875" style="263" customWidth="1"/>
    <col min="6170" max="6170" width="13.109375" style="263" customWidth="1"/>
    <col min="6171" max="6171" width="11.33203125" style="263" customWidth="1"/>
    <col min="6172" max="6172" width="14.21875" style="263" customWidth="1"/>
    <col min="6173" max="6173" width="12.21875" style="263" customWidth="1"/>
    <col min="6174" max="6174" width="0" style="263" hidden="1" customWidth="1"/>
    <col min="6175" max="6175" width="11.88671875" style="263" customWidth="1"/>
    <col min="6176" max="6176" width="8.88671875" style="263" customWidth="1"/>
    <col min="6177" max="6177" width="12.33203125" style="263" customWidth="1"/>
    <col min="6178" max="6178" width="1.44140625" style="263" customWidth="1"/>
    <col min="6179" max="6179" width="10.77734375" style="263" customWidth="1"/>
    <col min="6180" max="6180" width="1.44140625" style="263" customWidth="1"/>
    <col min="6181" max="6181" width="8" style="263" customWidth="1"/>
    <col min="6182" max="6182" width="1.44140625" style="263" customWidth="1"/>
    <col min="6183" max="6183" width="17.77734375" style="263" customWidth="1"/>
    <col min="6184" max="6184" width="1.44140625" style="263" customWidth="1"/>
    <col min="6185" max="6185" width="17.77734375" style="263" customWidth="1"/>
    <col min="6186" max="6186" width="1.44140625" style="263" customWidth="1"/>
    <col min="6187" max="6395" width="8" style="263"/>
    <col min="6396" max="6396" width="1.44140625" style="263" customWidth="1"/>
    <col min="6397" max="6397" width="4.5546875" style="263" customWidth="1"/>
    <col min="6398" max="6398" width="9.21875" style="263" customWidth="1"/>
    <col min="6399" max="6399" width="14.109375" style="263" bestFit="1" customWidth="1"/>
    <col min="6400" max="6401" width="12.33203125" style="263" customWidth="1"/>
    <col min="6402" max="6402" width="13" style="263" bestFit="1" customWidth="1"/>
    <col min="6403" max="6403" width="14" style="263" customWidth="1"/>
    <col min="6404" max="6404" width="14.109375" style="263" bestFit="1" customWidth="1"/>
    <col min="6405" max="6406" width="12.33203125" style="263" customWidth="1"/>
    <col min="6407" max="6407" width="14.5546875" style="263" customWidth="1"/>
    <col min="6408" max="6408" width="14.44140625" style="263" customWidth="1"/>
    <col min="6409" max="6409" width="13.77734375" style="263" customWidth="1"/>
    <col min="6410" max="6412" width="13.109375" style="263" customWidth="1"/>
    <col min="6413" max="6413" width="14" style="263" customWidth="1"/>
    <col min="6414" max="6419" width="13.109375" style="263" customWidth="1"/>
    <col min="6420" max="6420" width="12.88671875" style="263" customWidth="1"/>
    <col min="6421" max="6421" width="10.5546875" style="263" customWidth="1"/>
    <col min="6422" max="6422" width="11.77734375" style="263" customWidth="1"/>
    <col min="6423" max="6423" width="13" style="263" bestFit="1" customWidth="1"/>
    <col min="6424" max="6424" width="11.77734375" style="263" customWidth="1"/>
    <col min="6425" max="6425" width="12.88671875" style="263" customWidth="1"/>
    <col min="6426" max="6426" width="13.109375" style="263" customWidth="1"/>
    <col min="6427" max="6427" width="11.33203125" style="263" customWidth="1"/>
    <col min="6428" max="6428" width="14.21875" style="263" customWidth="1"/>
    <col min="6429" max="6429" width="12.21875" style="263" customWidth="1"/>
    <col min="6430" max="6430" width="0" style="263" hidden="1" customWidth="1"/>
    <col min="6431" max="6431" width="11.88671875" style="263" customWidth="1"/>
    <col min="6432" max="6432" width="8.88671875" style="263" customWidth="1"/>
    <col min="6433" max="6433" width="12.33203125" style="263" customWidth="1"/>
    <col min="6434" max="6434" width="1.44140625" style="263" customWidth="1"/>
    <col min="6435" max="6435" width="10.77734375" style="263" customWidth="1"/>
    <col min="6436" max="6436" width="1.44140625" style="263" customWidth="1"/>
    <col min="6437" max="6437" width="8" style="263" customWidth="1"/>
    <col min="6438" max="6438" width="1.44140625" style="263" customWidth="1"/>
    <col min="6439" max="6439" width="17.77734375" style="263" customWidth="1"/>
    <col min="6440" max="6440" width="1.44140625" style="263" customWidth="1"/>
    <col min="6441" max="6441" width="17.77734375" style="263" customWidth="1"/>
    <col min="6442" max="6442" width="1.44140625" style="263" customWidth="1"/>
    <col min="6443" max="6651" width="8" style="263"/>
    <col min="6652" max="6652" width="1.44140625" style="263" customWidth="1"/>
    <col min="6653" max="6653" width="4.5546875" style="263" customWidth="1"/>
    <col min="6654" max="6654" width="9.21875" style="263" customWidth="1"/>
    <col min="6655" max="6655" width="14.109375" style="263" bestFit="1" customWidth="1"/>
    <col min="6656" max="6657" width="12.33203125" style="263" customWidth="1"/>
    <col min="6658" max="6658" width="13" style="263" bestFit="1" customWidth="1"/>
    <col min="6659" max="6659" width="14" style="263" customWidth="1"/>
    <col min="6660" max="6660" width="14.109375" style="263" bestFit="1" customWidth="1"/>
    <col min="6661" max="6662" width="12.33203125" style="263" customWidth="1"/>
    <col min="6663" max="6663" width="14.5546875" style="263" customWidth="1"/>
    <col min="6664" max="6664" width="14.44140625" style="263" customWidth="1"/>
    <col min="6665" max="6665" width="13.77734375" style="263" customWidth="1"/>
    <col min="6666" max="6668" width="13.109375" style="263" customWidth="1"/>
    <col min="6669" max="6669" width="14" style="263" customWidth="1"/>
    <col min="6670" max="6675" width="13.109375" style="263" customWidth="1"/>
    <col min="6676" max="6676" width="12.88671875" style="263" customWidth="1"/>
    <col min="6677" max="6677" width="10.5546875" style="263" customWidth="1"/>
    <col min="6678" max="6678" width="11.77734375" style="263" customWidth="1"/>
    <col min="6679" max="6679" width="13" style="263" bestFit="1" customWidth="1"/>
    <col min="6680" max="6680" width="11.77734375" style="263" customWidth="1"/>
    <col min="6681" max="6681" width="12.88671875" style="263" customWidth="1"/>
    <col min="6682" max="6682" width="13.109375" style="263" customWidth="1"/>
    <col min="6683" max="6683" width="11.33203125" style="263" customWidth="1"/>
    <col min="6684" max="6684" width="14.21875" style="263" customWidth="1"/>
    <col min="6685" max="6685" width="12.21875" style="263" customWidth="1"/>
    <col min="6686" max="6686" width="0" style="263" hidden="1" customWidth="1"/>
    <col min="6687" max="6687" width="11.88671875" style="263" customWidth="1"/>
    <col min="6688" max="6688" width="8.88671875" style="263" customWidth="1"/>
    <col min="6689" max="6689" width="12.33203125" style="263" customWidth="1"/>
    <col min="6690" max="6690" width="1.44140625" style="263" customWidth="1"/>
    <col min="6691" max="6691" width="10.77734375" style="263" customWidth="1"/>
    <col min="6692" max="6692" width="1.44140625" style="263" customWidth="1"/>
    <col min="6693" max="6693" width="8" style="263" customWidth="1"/>
    <col min="6694" max="6694" width="1.44140625" style="263" customWidth="1"/>
    <col min="6695" max="6695" width="17.77734375" style="263" customWidth="1"/>
    <col min="6696" max="6696" width="1.44140625" style="263" customWidth="1"/>
    <col min="6697" max="6697" width="17.77734375" style="263" customWidth="1"/>
    <col min="6698" max="6698" width="1.44140625" style="263" customWidth="1"/>
    <col min="6699" max="6907" width="8" style="263"/>
    <col min="6908" max="6908" width="1.44140625" style="263" customWidth="1"/>
    <col min="6909" max="6909" width="4.5546875" style="263" customWidth="1"/>
    <col min="6910" max="6910" width="9.21875" style="263" customWidth="1"/>
    <col min="6911" max="6911" width="14.109375" style="263" bestFit="1" customWidth="1"/>
    <col min="6912" max="6913" width="12.33203125" style="263" customWidth="1"/>
    <col min="6914" max="6914" width="13" style="263" bestFit="1" customWidth="1"/>
    <col min="6915" max="6915" width="14" style="263" customWidth="1"/>
    <col min="6916" max="6916" width="14.109375" style="263" bestFit="1" customWidth="1"/>
    <col min="6917" max="6918" width="12.33203125" style="263" customWidth="1"/>
    <col min="6919" max="6919" width="14.5546875" style="263" customWidth="1"/>
    <col min="6920" max="6920" width="14.44140625" style="263" customWidth="1"/>
    <col min="6921" max="6921" width="13.77734375" style="263" customWidth="1"/>
    <col min="6922" max="6924" width="13.109375" style="263" customWidth="1"/>
    <col min="6925" max="6925" width="14" style="263" customWidth="1"/>
    <col min="6926" max="6931" width="13.109375" style="263" customWidth="1"/>
    <col min="6932" max="6932" width="12.88671875" style="263" customWidth="1"/>
    <col min="6933" max="6933" width="10.5546875" style="263" customWidth="1"/>
    <col min="6934" max="6934" width="11.77734375" style="263" customWidth="1"/>
    <col min="6935" max="6935" width="13" style="263" bestFit="1" customWidth="1"/>
    <col min="6936" max="6936" width="11.77734375" style="263" customWidth="1"/>
    <col min="6937" max="6937" width="12.88671875" style="263" customWidth="1"/>
    <col min="6938" max="6938" width="13.109375" style="263" customWidth="1"/>
    <col min="6939" max="6939" width="11.33203125" style="263" customWidth="1"/>
    <col min="6940" max="6940" width="14.21875" style="263" customWidth="1"/>
    <col min="6941" max="6941" width="12.21875" style="263" customWidth="1"/>
    <col min="6942" max="6942" width="0" style="263" hidden="1" customWidth="1"/>
    <col min="6943" max="6943" width="11.88671875" style="263" customWidth="1"/>
    <col min="6944" max="6944" width="8.88671875" style="263" customWidth="1"/>
    <col min="6945" max="6945" width="12.33203125" style="263" customWidth="1"/>
    <col min="6946" max="6946" width="1.44140625" style="263" customWidth="1"/>
    <col min="6947" max="6947" width="10.77734375" style="263" customWidth="1"/>
    <col min="6948" max="6948" width="1.44140625" style="263" customWidth="1"/>
    <col min="6949" max="6949" width="8" style="263" customWidth="1"/>
    <col min="6950" max="6950" width="1.44140625" style="263" customWidth="1"/>
    <col min="6951" max="6951" width="17.77734375" style="263" customWidth="1"/>
    <col min="6952" max="6952" width="1.44140625" style="263" customWidth="1"/>
    <col min="6953" max="6953" width="17.77734375" style="263" customWidth="1"/>
    <col min="6954" max="6954" width="1.44140625" style="263" customWidth="1"/>
    <col min="6955" max="7163" width="8" style="263"/>
    <col min="7164" max="7164" width="1.44140625" style="263" customWidth="1"/>
    <col min="7165" max="7165" width="4.5546875" style="263" customWidth="1"/>
    <col min="7166" max="7166" width="9.21875" style="263" customWidth="1"/>
    <col min="7167" max="7167" width="14.109375" style="263" bestFit="1" customWidth="1"/>
    <col min="7168" max="7169" width="12.33203125" style="263" customWidth="1"/>
    <col min="7170" max="7170" width="13" style="263" bestFit="1" customWidth="1"/>
    <col min="7171" max="7171" width="14" style="263" customWidth="1"/>
    <col min="7172" max="7172" width="14.109375" style="263" bestFit="1" customWidth="1"/>
    <col min="7173" max="7174" width="12.33203125" style="263" customWidth="1"/>
    <col min="7175" max="7175" width="14.5546875" style="263" customWidth="1"/>
    <col min="7176" max="7176" width="14.44140625" style="263" customWidth="1"/>
    <col min="7177" max="7177" width="13.77734375" style="263" customWidth="1"/>
    <col min="7178" max="7180" width="13.109375" style="263" customWidth="1"/>
    <col min="7181" max="7181" width="14" style="263" customWidth="1"/>
    <col min="7182" max="7187" width="13.109375" style="263" customWidth="1"/>
    <col min="7188" max="7188" width="12.88671875" style="263" customWidth="1"/>
    <col min="7189" max="7189" width="10.5546875" style="263" customWidth="1"/>
    <col min="7190" max="7190" width="11.77734375" style="263" customWidth="1"/>
    <col min="7191" max="7191" width="13" style="263" bestFit="1" customWidth="1"/>
    <col min="7192" max="7192" width="11.77734375" style="263" customWidth="1"/>
    <col min="7193" max="7193" width="12.88671875" style="263" customWidth="1"/>
    <col min="7194" max="7194" width="13.109375" style="263" customWidth="1"/>
    <col min="7195" max="7195" width="11.33203125" style="263" customWidth="1"/>
    <col min="7196" max="7196" width="14.21875" style="263" customWidth="1"/>
    <col min="7197" max="7197" width="12.21875" style="263" customWidth="1"/>
    <col min="7198" max="7198" width="0" style="263" hidden="1" customWidth="1"/>
    <col min="7199" max="7199" width="11.88671875" style="263" customWidth="1"/>
    <col min="7200" max="7200" width="8.88671875" style="263" customWidth="1"/>
    <col min="7201" max="7201" width="12.33203125" style="263" customWidth="1"/>
    <col min="7202" max="7202" width="1.44140625" style="263" customWidth="1"/>
    <col min="7203" max="7203" width="10.77734375" style="263" customWidth="1"/>
    <col min="7204" max="7204" width="1.44140625" style="263" customWidth="1"/>
    <col min="7205" max="7205" width="8" style="263" customWidth="1"/>
    <col min="7206" max="7206" width="1.44140625" style="263" customWidth="1"/>
    <col min="7207" max="7207" width="17.77734375" style="263" customWidth="1"/>
    <col min="7208" max="7208" width="1.44140625" style="263" customWidth="1"/>
    <col min="7209" max="7209" width="17.77734375" style="263" customWidth="1"/>
    <col min="7210" max="7210" width="1.44140625" style="263" customWidth="1"/>
    <col min="7211" max="7419" width="8" style="263"/>
    <col min="7420" max="7420" width="1.44140625" style="263" customWidth="1"/>
    <col min="7421" max="7421" width="4.5546875" style="263" customWidth="1"/>
    <col min="7422" max="7422" width="9.21875" style="263" customWidth="1"/>
    <col min="7423" max="7423" width="14.109375" style="263" bestFit="1" customWidth="1"/>
    <col min="7424" max="7425" width="12.33203125" style="263" customWidth="1"/>
    <col min="7426" max="7426" width="13" style="263" bestFit="1" customWidth="1"/>
    <col min="7427" max="7427" width="14" style="263" customWidth="1"/>
    <col min="7428" max="7428" width="14.109375" style="263" bestFit="1" customWidth="1"/>
    <col min="7429" max="7430" width="12.33203125" style="263" customWidth="1"/>
    <col min="7431" max="7431" width="14.5546875" style="263" customWidth="1"/>
    <col min="7432" max="7432" width="14.44140625" style="263" customWidth="1"/>
    <col min="7433" max="7433" width="13.77734375" style="263" customWidth="1"/>
    <col min="7434" max="7436" width="13.109375" style="263" customWidth="1"/>
    <col min="7437" max="7437" width="14" style="263" customWidth="1"/>
    <col min="7438" max="7443" width="13.109375" style="263" customWidth="1"/>
    <col min="7444" max="7444" width="12.88671875" style="263" customWidth="1"/>
    <col min="7445" max="7445" width="10.5546875" style="263" customWidth="1"/>
    <col min="7446" max="7446" width="11.77734375" style="263" customWidth="1"/>
    <col min="7447" max="7447" width="13" style="263" bestFit="1" customWidth="1"/>
    <col min="7448" max="7448" width="11.77734375" style="263" customWidth="1"/>
    <col min="7449" max="7449" width="12.88671875" style="263" customWidth="1"/>
    <col min="7450" max="7450" width="13.109375" style="263" customWidth="1"/>
    <col min="7451" max="7451" width="11.33203125" style="263" customWidth="1"/>
    <col min="7452" max="7452" width="14.21875" style="263" customWidth="1"/>
    <col min="7453" max="7453" width="12.21875" style="263" customWidth="1"/>
    <col min="7454" max="7454" width="0" style="263" hidden="1" customWidth="1"/>
    <col min="7455" max="7455" width="11.88671875" style="263" customWidth="1"/>
    <col min="7456" max="7456" width="8.88671875" style="263" customWidth="1"/>
    <col min="7457" max="7457" width="12.33203125" style="263" customWidth="1"/>
    <col min="7458" max="7458" width="1.44140625" style="263" customWidth="1"/>
    <col min="7459" max="7459" width="10.77734375" style="263" customWidth="1"/>
    <col min="7460" max="7460" width="1.44140625" style="263" customWidth="1"/>
    <col min="7461" max="7461" width="8" style="263" customWidth="1"/>
    <col min="7462" max="7462" width="1.44140625" style="263" customWidth="1"/>
    <col min="7463" max="7463" width="17.77734375" style="263" customWidth="1"/>
    <col min="7464" max="7464" width="1.44140625" style="263" customWidth="1"/>
    <col min="7465" max="7465" width="17.77734375" style="263" customWidth="1"/>
    <col min="7466" max="7466" width="1.44140625" style="263" customWidth="1"/>
    <col min="7467" max="7675" width="8" style="263"/>
    <col min="7676" max="7676" width="1.44140625" style="263" customWidth="1"/>
    <col min="7677" max="7677" width="4.5546875" style="263" customWidth="1"/>
    <col min="7678" max="7678" width="9.21875" style="263" customWidth="1"/>
    <col min="7679" max="7679" width="14.109375" style="263" bestFit="1" customWidth="1"/>
    <col min="7680" max="7681" width="12.33203125" style="263" customWidth="1"/>
    <col min="7682" max="7682" width="13" style="263" bestFit="1" customWidth="1"/>
    <col min="7683" max="7683" width="14" style="263" customWidth="1"/>
    <col min="7684" max="7684" width="14.109375" style="263" bestFit="1" customWidth="1"/>
    <col min="7685" max="7686" width="12.33203125" style="263" customWidth="1"/>
    <col min="7687" max="7687" width="14.5546875" style="263" customWidth="1"/>
    <col min="7688" max="7688" width="14.44140625" style="263" customWidth="1"/>
    <col min="7689" max="7689" width="13.77734375" style="263" customWidth="1"/>
    <col min="7690" max="7692" width="13.109375" style="263" customWidth="1"/>
    <col min="7693" max="7693" width="14" style="263" customWidth="1"/>
    <col min="7694" max="7699" width="13.109375" style="263" customWidth="1"/>
    <col min="7700" max="7700" width="12.88671875" style="263" customWidth="1"/>
    <col min="7701" max="7701" width="10.5546875" style="263" customWidth="1"/>
    <col min="7702" max="7702" width="11.77734375" style="263" customWidth="1"/>
    <col min="7703" max="7703" width="13" style="263" bestFit="1" customWidth="1"/>
    <col min="7704" max="7704" width="11.77734375" style="263" customWidth="1"/>
    <col min="7705" max="7705" width="12.88671875" style="263" customWidth="1"/>
    <col min="7706" max="7706" width="13.109375" style="263" customWidth="1"/>
    <col min="7707" max="7707" width="11.33203125" style="263" customWidth="1"/>
    <col min="7708" max="7708" width="14.21875" style="263" customWidth="1"/>
    <col min="7709" max="7709" width="12.21875" style="263" customWidth="1"/>
    <col min="7710" max="7710" width="0" style="263" hidden="1" customWidth="1"/>
    <col min="7711" max="7711" width="11.88671875" style="263" customWidth="1"/>
    <col min="7712" max="7712" width="8.88671875" style="263" customWidth="1"/>
    <col min="7713" max="7713" width="12.33203125" style="263" customWidth="1"/>
    <col min="7714" max="7714" width="1.44140625" style="263" customWidth="1"/>
    <col min="7715" max="7715" width="10.77734375" style="263" customWidth="1"/>
    <col min="7716" max="7716" width="1.44140625" style="263" customWidth="1"/>
    <col min="7717" max="7717" width="8" style="263" customWidth="1"/>
    <col min="7718" max="7718" width="1.44140625" style="263" customWidth="1"/>
    <col min="7719" max="7719" width="17.77734375" style="263" customWidth="1"/>
    <col min="7720" max="7720" width="1.44140625" style="263" customWidth="1"/>
    <col min="7721" max="7721" width="17.77734375" style="263" customWidth="1"/>
    <col min="7722" max="7722" width="1.44140625" style="263" customWidth="1"/>
    <col min="7723" max="7931" width="8" style="263"/>
    <col min="7932" max="7932" width="1.44140625" style="263" customWidth="1"/>
    <col min="7933" max="7933" width="4.5546875" style="263" customWidth="1"/>
    <col min="7934" max="7934" width="9.21875" style="263" customWidth="1"/>
    <col min="7935" max="7935" width="14.109375" style="263" bestFit="1" customWidth="1"/>
    <col min="7936" max="7937" width="12.33203125" style="263" customWidth="1"/>
    <col min="7938" max="7938" width="13" style="263" bestFit="1" customWidth="1"/>
    <col min="7939" max="7939" width="14" style="263" customWidth="1"/>
    <col min="7940" max="7940" width="14.109375" style="263" bestFit="1" customWidth="1"/>
    <col min="7941" max="7942" width="12.33203125" style="263" customWidth="1"/>
    <col min="7943" max="7943" width="14.5546875" style="263" customWidth="1"/>
    <col min="7944" max="7944" width="14.44140625" style="263" customWidth="1"/>
    <col min="7945" max="7945" width="13.77734375" style="263" customWidth="1"/>
    <col min="7946" max="7948" width="13.109375" style="263" customWidth="1"/>
    <col min="7949" max="7949" width="14" style="263" customWidth="1"/>
    <col min="7950" max="7955" width="13.109375" style="263" customWidth="1"/>
    <col min="7956" max="7956" width="12.88671875" style="263" customWidth="1"/>
    <col min="7957" max="7957" width="10.5546875" style="263" customWidth="1"/>
    <col min="7958" max="7958" width="11.77734375" style="263" customWidth="1"/>
    <col min="7959" max="7959" width="13" style="263" bestFit="1" customWidth="1"/>
    <col min="7960" max="7960" width="11.77734375" style="263" customWidth="1"/>
    <col min="7961" max="7961" width="12.88671875" style="263" customWidth="1"/>
    <col min="7962" max="7962" width="13.109375" style="263" customWidth="1"/>
    <col min="7963" max="7963" width="11.33203125" style="263" customWidth="1"/>
    <col min="7964" max="7964" width="14.21875" style="263" customWidth="1"/>
    <col min="7965" max="7965" width="12.21875" style="263" customWidth="1"/>
    <col min="7966" max="7966" width="0" style="263" hidden="1" customWidth="1"/>
    <col min="7967" max="7967" width="11.88671875" style="263" customWidth="1"/>
    <col min="7968" max="7968" width="8.88671875" style="263" customWidth="1"/>
    <col min="7969" max="7969" width="12.33203125" style="263" customWidth="1"/>
    <col min="7970" max="7970" width="1.44140625" style="263" customWidth="1"/>
    <col min="7971" max="7971" width="10.77734375" style="263" customWidth="1"/>
    <col min="7972" max="7972" width="1.44140625" style="263" customWidth="1"/>
    <col min="7973" max="7973" width="8" style="263" customWidth="1"/>
    <col min="7974" max="7974" width="1.44140625" style="263" customWidth="1"/>
    <col min="7975" max="7975" width="17.77734375" style="263" customWidth="1"/>
    <col min="7976" max="7976" width="1.44140625" style="263" customWidth="1"/>
    <col min="7977" max="7977" width="17.77734375" style="263" customWidth="1"/>
    <col min="7978" max="7978" width="1.44140625" style="263" customWidth="1"/>
    <col min="7979" max="8187" width="8" style="263"/>
    <col min="8188" max="8188" width="1.44140625" style="263" customWidth="1"/>
    <col min="8189" max="8189" width="4.5546875" style="263" customWidth="1"/>
    <col min="8190" max="8190" width="9.21875" style="263" customWidth="1"/>
    <col min="8191" max="8191" width="14.109375" style="263" bestFit="1" customWidth="1"/>
    <col min="8192" max="8193" width="12.33203125" style="263" customWidth="1"/>
    <col min="8194" max="8194" width="13" style="263" bestFit="1" customWidth="1"/>
    <col min="8195" max="8195" width="14" style="263" customWidth="1"/>
    <col min="8196" max="8196" width="14.109375" style="263" bestFit="1" customWidth="1"/>
    <col min="8197" max="8198" width="12.33203125" style="263" customWidth="1"/>
    <col min="8199" max="8199" width="14.5546875" style="263" customWidth="1"/>
    <col min="8200" max="8200" width="14.44140625" style="263" customWidth="1"/>
    <col min="8201" max="8201" width="13.77734375" style="263" customWidth="1"/>
    <col min="8202" max="8204" width="13.109375" style="263" customWidth="1"/>
    <col min="8205" max="8205" width="14" style="263" customWidth="1"/>
    <col min="8206" max="8211" width="13.109375" style="263" customWidth="1"/>
    <col min="8212" max="8212" width="12.88671875" style="263" customWidth="1"/>
    <col min="8213" max="8213" width="10.5546875" style="263" customWidth="1"/>
    <col min="8214" max="8214" width="11.77734375" style="263" customWidth="1"/>
    <col min="8215" max="8215" width="13" style="263" bestFit="1" customWidth="1"/>
    <col min="8216" max="8216" width="11.77734375" style="263" customWidth="1"/>
    <col min="8217" max="8217" width="12.88671875" style="263" customWidth="1"/>
    <col min="8218" max="8218" width="13.109375" style="263" customWidth="1"/>
    <col min="8219" max="8219" width="11.33203125" style="263" customWidth="1"/>
    <col min="8220" max="8220" width="14.21875" style="263" customWidth="1"/>
    <col min="8221" max="8221" width="12.21875" style="263" customWidth="1"/>
    <col min="8222" max="8222" width="0" style="263" hidden="1" customWidth="1"/>
    <col min="8223" max="8223" width="11.88671875" style="263" customWidth="1"/>
    <col min="8224" max="8224" width="8.88671875" style="263" customWidth="1"/>
    <col min="8225" max="8225" width="12.33203125" style="263" customWidth="1"/>
    <col min="8226" max="8226" width="1.44140625" style="263" customWidth="1"/>
    <col min="8227" max="8227" width="10.77734375" style="263" customWidth="1"/>
    <col min="8228" max="8228" width="1.44140625" style="263" customWidth="1"/>
    <col min="8229" max="8229" width="8" style="263" customWidth="1"/>
    <col min="8230" max="8230" width="1.44140625" style="263" customWidth="1"/>
    <col min="8231" max="8231" width="17.77734375" style="263" customWidth="1"/>
    <col min="8232" max="8232" width="1.44140625" style="263" customWidth="1"/>
    <col min="8233" max="8233" width="17.77734375" style="263" customWidth="1"/>
    <col min="8234" max="8234" width="1.44140625" style="263" customWidth="1"/>
    <col min="8235" max="8443" width="8" style="263"/>
    <col min="8444" max="8444" width="1.44140625" style="263" customWidth="1"/>
    <col min="8445" max="8445" width="4.5546875" style="263" customWidth="1"/>
    <col min="8446" max="8446" width="9.21875" style="263" customWidth="1"/>
    <col min="8447" max="8447" width="14.109375" style="263" bestFit="1" customWidth="1"/>
    <col min="8448" max="8449" width="12.33203125" style="263" customWidth="1"/>
    <col min="8450" max="8450" width="13" style="263" bestFit="1" customWidth="1"/>
    <col min="8451" max="8451" width="14" style="263" customWidth="1"/>
    <col min="8452" max="8452" width="14.109375" style="263" bestFit="1" customWidth="1"/>
    <col min="8453" max="8454" width="12.33203125" style="263" customWidth="1"/>
    <col min="8455" max="8455" width="14.5546875" style="263" customWidth="1"/>
    <col min="8456" max="8456" width="14.44140625" style="263" customWidth="1"/>
    <col min="8457" max="8457" width="13.77734375" style="263" customWidth="1"/>
    <col min="8458" max="8460" width="13.109375" style="263" customWidth="1"/>
    <col min="8461" max="8461" width="14" style="263" customWidth="1"/>
    <col min="8462" max="8467" width="13.109375" style="263" customWidth="1"/>
    <col min="8468" max="8468" width="12.88671875" style="263" customWidth="1"/>
    <col min="8469" max="8469" width="10.5546875" style="263" customWidth="1"/>
    <col min="8470" max="8470" width="11.77734375" style="263" customWidth="1"/>
    <col min="8471" max="8471" width="13" style="263" bestFit="1" customWidth="1"/>
    <col min="8472" max="8472" width="11.77734375" style="263" customWidth="1"/>
    <col min="8473" max="8473" width="12.88671875" style="263" customWidth="1"/>
    <col min="8474" max="8474" width="13.109375" style="263" customWidth="1"/>
    <col min="8475" max="8475" width="11.33203125" style="263" customWidth="1"/>
    <col min="8476" max="8476" width="14.21875" style="263" customWidth="1"/>
    <col min="8477" max="8477" width="12.21875" style="263" customWidth="1"/>
    <col min="8478" max="8478" width="0" style="263" hidden="1" customWidth="1"/>
    <col min="8479" max="8479" width="11.88671875" style="263" customWidth="1"/>
    <col min="8480" max="8480" width="8.88671875" style="263" customWidth="1"/>
    <col min="8481" max="8481" width="12.33203125" style="263" customWidth="1"/>
    <col min="8482" max="8482" width="1.44140625" style="263" customWidth="1"/>
    <col min="8483" max="8483" width="10.77734375" style="263" customWidth="1"/>
    <col min="8484" max="8484" width="1.44140625" style="263" customWidth="1"/>
    <col min="8485" max="8485" width="8" style="263" customWidth="1"/>
    <col min="8486" max="8486" width="1.44140625" style="263" customWidth="1"/>
    <col min="8487" max="8487" width="17.77734375" style="263" customWidth="1"/>
    <col min="8488" max="8488" width="1.44140625" style="263" customWidth="1"/>
    <col min="8489" max="8489" width="17.77734375" style="263" customWidth="1"/>
    <col min="8490" max="8490" width="1.44140625" style="263" customWidth="1"/>
    <col min="8491" max="8699" width="8" style="263"/>
    <col min="8700" max="8700" width="1.44140625" style="263" customWidth="1"/>
    <col min="8701" max="8701" width="4.5546875" style="263" customWidth="1"/>
    <col min="8702" max="8702" width="9.21875" style="263" customWidth="1"/>
    <col min="8703" max="8703" width="14.109375" style="263" bestFit="1" customWidth="1"/>
    <col min="8704" max="8705" width="12.33203125" style="263" customWidth="1"/>
    <col min="8706" max="8706" width="13" style="263" bestFit="1" customWidth="1"/>
    <col min="8707" max="8707" width="14" style="263" customWidth="1"/>
    <col min="8708" max="8708" width="14.109375" style="263" bestFit="1" customWidth="1"/>
    <col min="8709" max="8710" width="12.33203125" style="263" customWidth="1"/>
    <col min="8711" max="8711" width="14.5546875" style="263" customWidth="1"/>
    <col min="8712" max="8712" width="14.44140625" style="263" customWidth="1"/>
    <col min="8713" max="8713" width="13.77734375" style="263" customWidth="1"/>
    <col min="8714" max="8716" width="13.109375" style="263" customWidth="1"/>
    <col min="8717" max="8717" width="14" style="263" customWidth="1"/>
    <col min="8718" max="8723" width="13.109375" style="263" customWidth="1"/>
    <col min="8724" max="8724" width="12.88671875" style="263" customWidth="1"/>
    <col min="8725" max="8725" width="10.5546875" style="263" customWidth="1"/>
    <col min="8726" max="8726" width="11.77734375" style="263" customWidth="1"/>
    <col min="8727" max="8727" width="13" style="263" bestFit="1" customWidth="1"/>
    <col min="8728" max="8728" width="11.77734375" style="263" customWidth="1"/>
    <col min="8729" max="8729" width="12.88671875" style="263" customWidth="1"/>
    <col min="8730" max="8730" width="13.109375" style="263" customWidth="1"/>
    <col min="8731" max="8731" width="11.33203125" style="263" customWidth="1"/>
    <col min="8732" max="8732" width="14.21875" style="263" customWidth="1"/>
    <col min="8733" max="8733" width="12.21875" style="263" customWidth="1"/>
    <col min="8734" max="8734" width="0" style="263" hidden="1" customWidth="1"/>
    <col min="8735" max="8735" width="11.88671875" style="263" customWidth="1"/>
    <col min="8736" max="8736" width="8.88671875" style="263" customWidth="1"/>
    <col min="8737" max="8737" width="12.33203125" style="263" customWidth="1"/>
    <col min="8738" max="8738" width="1.44140625" style="263" customWidth="1"/>
    <col min="8739" max="8739" width="10.77734375" style="263" customWidth="1"/>
    <col min="8740" max="8740" width="1.44140625" style="263" customWidth="1"/>
    <col min="8741" max="8741" width="8" style="263" customWidth="1"/>
    <col min="8742" max="8742" width="1.44140625" style="263" customWidth="1"/>
    <col min="8743" max="8743" width="17.77734375" style="263" customWidth="1"/>
    <col min="8744" max="8744" width="1.44140625" style="263" customWidth="1"/>
    <col min="8745" max="8745" width="17.77734375" style="263" customWidth="1"/>
    <col min="8746" max="8746" width="1.44140625" style="263" customWidth="1"/>
    <col min="8747" max="8955" width="8" style="263"/>
    <col min="8956" max="8956" width="1.44140625" style="263" customWidth="1"/>
    <col min="8957" max="8957" width="4.5546875" style="263" customWidth="1"/>
    <col min="8958" max="8958" width="9.21875" style="263" customWidth="1"/>
    <col min="8959" max="8959" width="14.109375" style="263" bestFit="1" customWidth="1"/>
    <col min="8960" max="8961" width="12.33203125" style="263" customWidth="1"/>
    <col min="8962" max="8962" width="13" style="263" bestFit="1" customWidth="1"/>
    <col min="8963" max="8963" width="14" style="263" customWidth="1"/>
    <col min="8964" max="8964" width="14.109375" style="263" bestFit="1" customWidth="1"/>
    <col min="8965" max="8966" width="12.33203125" style="263" customWidth="1"/>
    <col min="8967" max="8967" width="14.5546875" style="263" customWidth="1"/>
    <col min="8968" max="8968" width="14.44140625" style="263" customWidth="1"/>
    <col min="8969" max="8969" width="13.77734375" style="263" customWidth="1"/>
    <col min="8970" max="8972" width="13.109375" style="263" customWidth="1"/>
    <col min="8973" max="8973" width="14" style="263" customWidth="1"/>
    <col min="8974" max="8979" width="13.109375" style="263" customWidth="1"/>
    <col min="8980" max="8980" width="12.88671875" style="263" customWidth="1"/>
    <col min="8981" max="8981" width="10.5546875" style="263" customWidth="1"/>
    <col min="8982" max="8982" width="11.77734375" style="263" customWidth="1"/>
    <col min="8983" max="8983" width="13" style="263" bestFit="1" customWidth="1"/>
    <col min="8984" max="8984" width="11.77734375" style="263" customWidth="1"/>
    <col min="8985" max="8985" width="12.88671875" style="263" customWidth="1"/>
    <col min="8986" max="8986" width="13.109375" style="263" customWidth="1"/>
    <col min="8987" max="8987" width="11.33203125" style="263" customWidth="1"/>
    <col min="8988" max="8988" width="14.21875" style="263" customWidth="1"/>
    <col min="8989" max="8989" width="12.21875" style="263" customWidth="1"/>
    <col min="8990" max="8990" width="0" style="263" hidden="1" customWidth="1"/>
    <col min="8991" max="8991" width="11.88671875" style="263" customWidth="1"/>
    <col min="8992" max="8992" width="8.88671875" style="263" customWidth="1"/>
    <col min="8993" max="8993" width="12.33203125" style="263" customWidth="1"/>
    <col min="8994" max="8994" width="1.44140625" style="263" customWidth="1"/>
    <col min="8995" max="8995" width="10.77734375" style="263" customWidth="1"/>
    <col min="8996" max="8996" width="1.44140625" style="263" customWidth="1"/>
    <col min="8997" max="8997" width="8" style="263" customWidth="1"/>
    <col min="8998" max="8998" width="1.44140625" style="263" customWidth="1"/>
    <col min="8999" max="8999" width="17.77734375" style="263" customWidth="1"/>
    <col min="9000" max="9000" width="1.44140625" style="263" customWidth="1"/>
    <col min="9001" max="9001" width="17.77734375" style="263" customWidth="1"/>
    <col min="9002" max="9002" width="1.44140625" style="263" customWidth="1"/>
    <col min="9003" max="9211" width="8" style="263"/>
    <col min="9212" max="9212" width="1.44140625" style="263" customWidth="1"/>
    <col min="9213" max="9213" width="4.5546875" style="263" customWidth="1"/>
    <col min="9214" max="9214" width="9.21875" style="263" customWidth="1"/>
    <col min="9215" max="9215" width="14.109375" style="263" bestFit="1" customWidth="1"/>
    <col min="9216" max="9217" width="12.33203125" style="263" customWidth="1"/>
    <col min="9218" max="9218" width="13" style="263" bestFit="1" customWidth="1"/>
    <col min="9219" max="9219" width="14" style="263" customWidth="1"/>
    <col min="9220" max="9220" width="14.109375" style="263" bestFit="1" customWidth="1"/>
    <col min="9221" max="9222" width="12.33203125" style="263" customWidth="1"/>
    <col min="9223" max="9223" width="14.5546875" style="263" customWidth="1"/>
    <col min="9224" max="9224" width="14.44140625" style="263" customWidth="1"/>
    <col min="9225" max="9225" width="13.77734375" style="263" customWidth="1"/>
    <col min="9226" max="9228" width="13.109375" style="263" customWidth="1"/>
    <col min="9229" max="9229" width="14" style="263" customWidth="1"/>
    <col min="9230" max="9235" width="13.109375" style="263" customWidth="1"/>
    <col min="9236" max="9236" width="12.88671875" style="263" customWidth="1"/>
    <col min="9237" max="9237" width="10.5546875" style="263" customWidth="1"/>
    <col min="9238" max="9238" width="11.77734375" style="263" customWidth="1"/>
    <col min="9239" max="9239" width="13" style="263" bestFit="1" customWidth="1"/>
    <col min="9240" max="9240" width="11.77734375" style="263" customWidth="1"/>
    <col min="9241" max="9241" width="12.88671875" style="263" customWidth="1"/>
    <col min="9242" max="9242" width="13.109375" style="263" customWidth="1"/>
    <col min="9243" max="9243" width="11.33203125" style="263" customWidth="1"/>
    <col min="9244" max="9244" width="14.21875" style="263" customWidth="1"/>
    <col min="9245" max="9245" width="12.21875" style="263" customWidth="1"/>
    <col min="9246" max="9246" width="0" style="263" hidden="1" customWidth="1"/>
    <col min="9247" max="9247" width="11.88671875" style="263" customWidth="1"/>
    <col min="9248" max="9248" width="8.88671875" style="263" customWidth="1"/>
    <col min="9249" max="9249" width="12.33203125" style="263" customWidth="1"/>
    <col min="9250" max="9250" width="1.44140625" style="263" customWidth="1"/>
    <col min="9251" max="9251" width="10.77734375" style="263" customWidth="1"/>
    <col min="9252" max="9252" width="1.44140625" style="263" customWidth="1"/>
    <col min="9253" max="9253" width="8" style="263" customWidth="1"/>
    <col min="9254" max="9254" width="1.44140625" style="263" customWidth="1"/>
    <col min="9255" max="9255" width="17.77734375" style="263" customWidth="1"/>
    <col min="9256" max="9256" width="1.44140625" style="263" customWidth="1"/>
    <col min="9257" max="9257" width="17.77734375" style="263" customWidth="1"/>
    <col min="9258" max="9258" width="1.44140625" style="263" customWidth="1"/>
    <col min="9259" max="9467" width="8" style="263"/>
    <col min="9468" max="9468" width="1.44140625" style="263" customWidth="1"/>
    <col min="9469" max="9469" width="4.5546875" style="263" customWidth="1"/>
    <col min="9470" max="9470" width="9.21875" style="263" customWidth="1"/>
    <col min="9471" max="9471" width="14.109375" style="263" bestFit="1" customWidth="1"/>
    <col min="9472" max="9473" width="12.33203125" style="263" customWidth="1"/>
    <col min="9474" max="9474" width="13" style="263" bestFit="1" customWidth="1"/>
    <col min="9475" max="9475" width="14" style="263" customWidth="1"/>
    <col min="9476" max="9476" width="14.109375" style="263" bestFit="1" customWidth="1"/>
    <col min="9477" max="9478" width="12.33203125" style="263" customWidth="1"/>
    <col min="9479" max="9479" width="14.5546875" style="263" customWidth="1"/>
    <col min="9480" max="9480" width="14.44140625" style="263" customWidth="1"/>
    <col min="9481" max="9481" width="13.77734375" style="263" customWidth="1"/>
    <col min="9482" max="9484" width="13.109375" style="263" customWidth="1"/>
    <col min="9485" max="9485" width="14" style="263" customWidth="1"/>
    <col min="9486" max="9491" width="13.109375" style="263" customWidth="1"/>
    <col min="9492" max="9492" width="12.88671875" style="263" customWidth="1"/>
    <col min="9493" max="9493" width="10.5546875" style="263" customWidth="1"/>
    <col min="9494" max="9494" width="11.77734375" style="263" customWidth="1"/>
    <col min="9495" max="9495" width="13" style="263" bestFit="1" customWidth="1"/>
    <col min="9496" max="9496" width="11.77734375" style="263" customWidth="1"/>
    <col min="9497" max="9497" width="12.88671875" style="263" customWidth="1"/>
    <col min="9498" max="9498" width="13.109375" style="263" customWidth="1"/>
    <col min="9499" max="9499" width="11.33203125" style="263" customWidth="1"/>
    <col min="9500" max="9500" width="14.21875" style="263" customWidth="1"/>
    <col min="9501" max="9501" width="12.21875" style="263" customWidth="1"/>
    <col min="9502" max="9502" width="0" style="263" hidden="1" customWidth="1"/>
    <col min="9503" max="9503" width="11.88671875" style="263" customWidth="1"/>
    <col min="9504" max="9504" width="8.88671875" style="263" customWidth="1"/>
    <col min="9505" max="9505" width="12.33203125" style="263" customWidth="1"/>
    <col min="9506" max="9506" width="1.44140625" style="263" customWidth="1"/>
    <col min="9507" max="9507" width="10.77734375" style="263" customWidth="1"/>
    <col min="9508" max="9508" width="1.44140625" style="263" customWidth="1"/>
    <col min="9509" max="9509" width="8" style="263" customWidth="1"/>
    <col min="9510" max="9510" width="1.44140625" style="263" customWidth="1"/>
    <col min="9511" max="9511" width="17.77734375" style="263" customWidth="1"/>
    <col min="9512" max="9512" width="1.44140625" style="263" customWidth="1"/>
    <col min="9513" max="9513" width="17.77734375" style="263" customWidth="1"/>
    <col min="9514" max="9514" width="1.44140625" style="263" customWidth="1"/>
    <col min="9515" max="9723" width="8" style="263"/>
    <col min="9724" max="9724" width="1.44140625" style="263" customWidth="1"/>
    <col min="9725" max="9725" width="4.5546875" style="263" customWidth="1"/>
    <col min="9726" max="9726" width="9.21875" style="263" customWidth="1"/>
    <col min="9727" max="9727" width="14.109375" style="263" bestFit="1" customWidth="1"/>
    <col min="9728" max="9729" width="12.33203125" style="263" customWidth="1"/>
    <col min="9730" max="9730" width="13" style="263" bestFit="1" customWidth="1"/>
    <col min="9731" max="9731" width="14" style="263" customWidth="1"/>
    <col min="9732" max="9732" width="14.109375" style="263" bestFit="1" customWidth="1"/>
    <col min="9733" max="9734" width="12.33203125" style="263" customWidth="1"/>
    <col min="9735" max="9735" width="14.5546875" style="263" customWidth="1"/>
    <col min="9736" max="9736" width="14.44140625" style="263" customWidth="1"/>
    <col min="9737" max="9737" width="13.77734375" style="263" customWidth="1"/>
    <col min="9738" max="9740" width="13.109375" style="263" customWidth="1"/>
    <col min="9741" max="9741" width="14" style="263" customWidth="1"/>
    <col min="9742" max="9747" width="13.109375" style="263" customWidth="1"/>
    <col min="9748" max="9748" width="12.88671875" style="263" customWidth="1"/>
    <col min="9749" max="9749" width="10.5546875" style="263" customWidth="1"/>
    <col min="9750" max="9750" width="11.77734375" style="263" customWidth="1"/>
    <col min="9751" max="9751" width="13" style="263" bestFit="1" customWidth="1"/>
    <col min="9752" max="9752" width="11.77734375" style="263" customWidth="1"/>
    <col min="9753" max="9753" width="12.88671875" style="263" customWidth="1"/>
    <col min="9754" max="9754" width="13.109375" style="263" customWidth="1"/>
    <col min="9755" max="9755" width="11.33203125" style="263" customWidth="1"/>
    <col min="9756" max="9756" width="14.21875" style="263" customWidth="1"/>
    <col min="9757" max="9757" width="12.21875" style="263" customWidth="1"/>
    <col min="9758" max="9758" width="0" style="263" hidden="1" customWidth="1"/>
    <col min="9759" max="9759" width="11.88671875" style="263" customWidth="1"/>
    <col min="9760" max="9760" width="8.88671875" style="263" customWidth="1"/>
    <col min="9761" max="9761" width="12.33203125" style="263" customWidth="1"/>
    <col min="9762" max="9762" width="1.44140625" style="263" customWidth="1"/>
    <col min="9763" max="9763" width="10.77734375" style="263" customWidth="1"/>
    <col min="9764" max="9764" width="1.44140625" style="263" customWidth="1"/>
    <col min="9765" max="9765" width="8" style="263" customWidth="1"/>
    <col min="9766" max="9766" width="1.44140625" style="263" customWidth="1"/>
    <col min="9767" max="9767" width="17.77734375" style="263" customWidth="1"/>
    <col min="9768" max="9768" width="1.44140625" style="263" customWidth="1"/>
    <col min="9769" max="9769" width="17.77734375" style="263" customWidth="1"/>
    <col min="9770" max="9770" width="1.44140625" style="263" customWidth="1"/>
    <col min="9771" max="9979" width="8" style="263"/>
    <col min="9980" max="9980" width="1.44140625" style="263" customWidth="1"/>
    <col min="9981" max="9981" width="4.5546875" style="263" customWidth="1"/>
    <col min="9982" max="9982" width="9.21875" style="263" customWidth="1"/>
    <col min="9983" max="9983" width="14.109375" style="263" bestFit="1" customWidth="1"/>
    <col min="9984" max="9985" width="12.33203125" style="263" customWidth="1"/>
    <col min="9986" max="9986" width="13" style="263" bestFit="1" customWidth="1"/>
    <col min="9987" max="9987" width="14" style="263" customWidth="1"/>
    <col min="9988" max="9988" width="14.109375" style="263" bestFit="1" customWidth="1"/>
    <col min="9989" max="9990" width="12.33203125" style="263" customWidth="1"/>
    <col min="9991" max="9991" width="14.5546875" style="263" customWidth="1"/>
    <col min="9992" max="9992" width="14.44140625" style="263" customWidth="1"/>
    <col min="9993" max="9993" width="13.77734375" style="263" customWidth="1"/>
    <col min="9994" max="9996" width="13.109375" style="263" customWidth="1"/>
    <col min="9997" max="9997" width="14" style="263" customWidth="1"/>
    <col min="9998" max="10003" width="13.109375" style="263" customWidth="1"/>
    <col min="10004" max="10004" width="12.88671875" style="263" customWidth="1"/>
    <col min="10005" max="10005" width="10.5546875" style="263" customWidth="1"/>
    <col min="10006" max="10006" width="11.77734375" style="263" customWidth="1"/>
    <col min="10007" max="10007" width="13" style="263" bestFit="1" customWidth="1"/>
    <col min="10008" max="10008" width="11.77734375" style="263" customWidth="1"/>
    <col min="10009" max="10009" width="12.88671875" style="263" customWidth="1"/>
    <col min="10010" max="10010" width="13.109375" style="263" customWidth="1"/>
    <col min="10011" max="10011" width="11.33203125" style="263" customWidth="1"/>
    <col min="10012" max="10012" width="14.21875" style="263" customWidth="1"/>
    <col min="10013" max="10013" width="12.21875" style="263" customWidth="1"/>
    <col min="10014" max="10014" width="0" style="263" hidden="1" customWidth="1"/>
    <col min="10015" max="10015" width="11.88671875" style="263" customWidth="1"/>
    <col min="10016" max="10016" width="8.88671875" style="263" customWidth="1"/>
    <col min="10017" max="10017" width="12.33203125" style="263" customWidth="1"/>
    <col min="10018" max="10018" width="1.44140625" style="263" customWidth="1"/>
    <col min="10019" max="10019" width="10.77734375" style="263" customWidth="1"/>
    <col min="10020" max="10020" width="1.44140625" style="263" customWidth="1"/>
    <col min="10021" max="10021" width="8" style="263" customWidth="1"/>
    <col min="10022" max="10022" width="1.44140625" style="263" customWidth="1"/>
    <col min="10023" max="10023" width="17.77734375" style="263" customWidth="1"/>
    <col min="10024" max="10024" width="1.44140625" style="263" customWidth="1"/>
    <col min="10025" max="10025" width="17.77734375" style="263" customWidth="1"/>
    <col min="10026" max="10026" width="1.44140625" style="263" customWidth="1"/>
    <col min="10027" max="10235" width="8" style="263"/>
    <col min="10236" max="10236" width="1.44140625" style="263" customWidth="1"/>
    <col min="10237" max="10237" width="4.5546875" style="263" customWidth="1"/>
    <col min="10238" max="10238" width="9.21875" style="263" customWidth="1"/>
    <col min="10239" max="10239" width="14.109375" style="263" bestFit="1" customWidth="1"/>
    <col min="10240" max="10241" width="12.33203125" style="263" customWidth="1"/>
    <col min="10242" max="10242" width="13" style="263" bestFit="1" customWidth="1"/>
    <col min="10243" max="10243" width="14" style="263" customWidth="1"/>
    <col min="10244" max="10244" width="14.109375" style="263" bestFit="1" customWidth="1"/>
    <col min="10245" max="10246" width="12.33203125" style="263" customWidth="1"/>
    <col min="10247" max="10247" width="14.5546875" style="263" customWidth="1"/>
    <col min="10248" max="10248" width="14.44140625" style="263" customWidth="1"/>
    <col min="10249" max="10249" width="13.77734375" style="263" customWidth="1"/>
    <col min="10250" max="10252" width="13.109375" style="263" customWidth="1"/>
    <col min="10253" max="10253" width="14" style="263" customWidth="1"/>
    <col min="10254" max="10259" width="13.109375" style="263" customWidth="1"/>
    <col min="10260" max="10260" width="12.88671875" style="263" customWidth="1"/>
    <col min="10261" max="10261" width="10.5546875" style="263" customWidth="1"/>
    <col min="10262" max="10262" width="11.77734375" style="263" customWidth="1"/>
    <col min="10263" max="10263" width="13" style="263" bestFit="1" customWidth="1"/>
    <col min="10264" max="10264" width="11.77734375" style="263" customWidth="1"/>
    <col min="10265" max="10265" width="12.88671875" style="263" customWidth="1"/>
    <col min="10266" max="10266" width="13.109375" style="263" customWidth="1"/>
    <col min="10267" max="10267" width="11.33203125" style="263" customWidth="1"/>
    <col min="10268" max="10268" width="14.21875" style="263" customWidth="1"/>
    <col min="10269" max="10269" width="12.21875" style="263" customWidth="1"/>
    <col min="10270" max="10270" width="0" style="263" hidden="1" customWidth="1"/>
    <col min="10271" max="10271" width="11.88671875" style="263" customWidth="1"/>
    <col min="10272" max="10272" width="8.88671875" style="263" customWidth="1"/>
    <col min="10273" max="10273" width="12.33203125" style="263" customWidth="1"/>
    <col min="10274" max="10274" width="1.44140625" style="263" customWidth="1"/>
    <col min="10275" max="10275" width="10.77734375" style="263" customWidth="1"/>
    <col min="10276" max="10276" width="1.44140625" style="263" customWidth="1"/>
    <col min="10277" max="10277" width="8" style="263" customWidth="1"/>
    <col min="10278" max="10278" width="1.44140625" style="263" customWidth="1"/>
    <col min="10279" max="10279" width="17.77734375" style="263" customWidth="1"/>
    <col min="10280" max="10280" width="1.44140625" style="263" customWidth="1"/>
    <col min="10281" max="10281" width="17.77734375" style="263" customWidth="1"/>
    <col min="10282" max="10282" width="1.44140625" style="263" customWidth="1"/>
    <col min="10283" max="10491" width="8" style="263"/>
    <col min="10492" max="10492" width="1.44140625" style="263" customWidth="1"/>
    <col min="10493" max="10493" width="4.5546875" style="263" customWidth="1"/>
    <col min="10494" max="10494" width="9.21875" style="263" customWidth="1"/>
    <col min="10495" max="10495" width="14.109375" style="263" bestFit="1" customWidth="1"/>
    <col min="10496" max="10497" width="12.33203125" style="263" customWidth="1"/>
    <col min="10498" max="10498" width="13" style="263" bestFit="1" customWidth="1"/>
    <col min="10499" max="10499" width="14" style="263" customWidth="1"/>
    <col min="10500" max="10500" width="14.109375" style="263" bestFit="1" customWidth="1"/>
    <col min="10501" max="10502" width="12.33203125" style="263" customWidth="1"/>
    <col min="10503" max="10503" width="14.5546875" style="263" customWidth="1"/>
    <col min="10504" max="10504" width="14.44140625" style="263" customWidth="1"/>
    <col min="10505" max="10505" width="13.77734375" style="263" customWidth="1"/>
    <col min="10506" max="10508" width="13.109375" style="263" customWidth="1"/>
    <col min="10509" max="10509" width="14" style="263" customWidth="1"/>
    <col min="10510" max="10515" width="13.109375" style="263" customWidth="1"/>
    <col min="10516" max="10516" width="12.88671875" style="263" customWidth="1"/>
    <col min="10517" max="10517" width="10.5546875" style="263" customWidth="1"/>
    <col min="10518" max="10518" width="11.77734375" style="263" customWidth="1"/>
    <col min="10519" max="10519" width="13" style="263" bestFit="1" customWidth="1"/>
    <col min="10520" max="10520" width="11.77734375" style="263" customWidth="1"/>
    <col min="10521" max="10521" width="12.88671875" style="263" customWidth="1"/>
    <col min="10522" max="10522" width="13.109375" style="263" customWidth="1"/>
    <col min="10523" max="10523" width="11.33203125" style="263" customWidth="1"/>
    <col min="10524" max="10524" width="14.21875" style="263" customWidth="1"/>
    <col min="10525" max="10525" width="12.21875" style="263" customWidth="1"/>
    <col min="10526" max="10526" width="0" style="263" hidden="1" customWidth="1"/>
    <col min="10527" max="10527" width="11.88671875" style="263" customWidth="1"/>
    <col min="10528" max="10528" width="8.88671875" style="263" customWidth="1"/>
    <col min="10529" max="10529" width="12.33203125" style="263" customWidth="1"/>
    <col min="10530" max="10530" width="1.44140625" style="263" customWidth="1"/>
    <col min="10531" max="10531" width="10.77734375" style="263" customWidth="1"/>
    <col min="10532" max="10532" width="1.44140625" style="263" customWidth="1"/>
    <col min="10533" max="10533" width="8" style="263" customWidth="1"/>
    <col min="10534" max="10534" width="1.44140625" style="263" customWidth="1"/>
    <col min="10535" max="10535" width="17.77734375" style="263" customWidth="1"/>
    <col min="10536" max="10536" width="1.44140625" style="263" customWidth="1"/>
    <col min="10537" max="10537" width="17.77734375" style="263" customWidth="1"/>
    <col min="10538" max="10538" width="1.44140625" style="263" customWidth="1"/>
    <col min="10539" max="10747" width="8" style="263"/>
    <col min="10748" max="10748" width="1.44140625" style="263" customWidth="1"/>
    <col min="10749" max="10749" width="4.5546875" style="263" customWidth="1"/>
    <col min="10750" max="10750" width="9.21875" style="263" customWidth="1"/>
    <col min="10751" max="10751" width="14.109375" style="263" bestFit="1" customWidth="1"/>
    <col min="10752" max="10753" width="12.33203125" style="263" customWidth="1"/>
    <col min="10754" max="10754" width="13" style="263" bestFit="1" customWidth="1"/>
    <col min="10755" max="10755" width="14" style="263" customWidth="1"/>
    <col min="10756" max="10756" width="14.109375" style="263" bestFit="1" customWidth="1"/>
    <col min="10757" max="10758" width="12.33203125" style="263" customWidth="1"/>
    <col min="10759" max="10759" width="14.5546875" style="263" customWidth="1"/>
    <col min="10760" max="10760" width="14.44140625" style="263" customWidth="1"/>
    <col min="10761" max="10761" width="13.77734375" style="263" customWidth="1"/>
    <col min="10762" max="10764" width="13.109375" style="263" customWidth="1"/>
    <col min="10765" max="10765" width="14" style="263" customWidth="1"/>
    <col min="10766" max="10771" width="13.109375" style="263" customWidth="1"/>
    <col min="10772" max="10772" width="12.88671875" style="263" customWidth="1"/>
    <col min="10773" max="10773" width="10.5546875" style="263" customWidth="1"/>
    <col min="10774" max="10774" width="11.77734375" style="263" customWidth="1"/>
    <col min="10775" max="10775" width="13" style="263" bestFit="1" customWidth="1"/>
    <col min="10776" max="10776" width="11.77734375" style="263" customWidth="1"/>
    <col min="10777" max="10777" width="12.88671875" style="263" customWidth="1"/>
    <col min="10778" max="10778" width="13.109375" style="263" customWidth="1"/>
    <col min="10779" max="10779" width="11.33203125" style="263" customWidth="1"/>
    <col min="10780" max="10780" width="14.21875" style="263" customWidth="1"/>
    <col min="10781" max="10781" width="12.21875" style="263" customWidth="1"/>
    <col min="10782" max="10782" width="0" style="263" hidden="1" customWidth="1"/>
    <col min="10783" max="10783" width="11.88671875" style="263" customWidth="1"/>
    <col min="10784" max="10784" width="8.88671875" style="263" customWidth="1"/>
    <col min="10785" max="10785" width="12.33203125" style="263" customWidth="1"/>
    <col min="10786" max="10786" width="1.44140625" style="263" customWidth="1"/>
    <col min="10787" max="10787" width="10.77734375" style="263" customWidth="1"/>
    <col min="10788" max="10788" width="1.44140625" style="263" customWidth="1"/>
    <col min="10789" max="10789" width="8" style="263" customWidth="1"/>
    <col min="10790" max="10790" width="1.44140625" style="263" customWidth="1"/>
    <col min="10791" max="10791" width="17.77734375" style="263" customWidth="1"/>
    <col min="10792" max="10792" width="1.44140625" style="263" customWidth="1"/>
    <col min="10793" max="10793" width="17.77734375" style="263" customWidth="1"/>
    <col min="10794" max="10794" width="1.44140625" style="263" customWidth="1"/>
    <col min="10795" max="11003" width="8" style="263"/>
    <col min="11004" max="11004" width="1.44140625" style="263" customWidth="1"/>
    <col min="11005" max="11005" width="4.5546875" style="263" customWidth="1"/>
    <col min="11006" max="11006" width="9.21875" style="263" customWidth="1"/>
    <col min="11007" max="11007" width="14.109375" style="263" bestFit="1" customWidth="1"/>
    <col min="11008" max="11009" width="12.33203125" style="263" customWidth="1"/>
    <col min="11010" max="11010" width="13" style="263" bestFit="1" customWidth="1"/>
    <col min="11011" max="11011" width="14" style="263" customWidth="1"/>
    <col min="11012" max="11012" width="14.109375" style="263" bestFit="1" customWidth="1"/>
    <col min="11013" max="11014" width="12.33203125" style="263" customWidth="1"/>
    <col min="11015" max="11015" width="14.5546875" style="263" customWidth="1"/>
    <col min="11016" max="11016" width="14.44140625" style="263" customWidth="1"/>
    <col min="11017" max="11017" width="13.77734375" style="263" customWidth="1"/>
    <col min="11018" max="11020" width="13.109375" style="263" customWidth="1"/>
    <col min="11021" max="11021" width="14" style="263" customWidth="1"/>
    <col min="11022" max="11027" width="13.109375" style="263" customWidth="1"/>
    <col min="11028" max="11028" width="12.88671875" style="263" customWidth="1"/>
    <col min="11029" max="11029" width="10.5546875" style="263" customWidth="1"/>
    <col min="11030" max="11030" width="11.77734375" style="263" customWidth="1"/>
    <col min="11031" max="11031" width="13" style="263" bestFit="1" customWidth="1"/>
    <col min="11032" max="11032" width="11.77734375" style="263" customWidth="1"/>
    <col min="11033" max="11033" width="12.88671875" style="263" customWidth="1"/>
    <col min="11034" max="11034" width="13.109375" style="263" customWidth="1"/>
    <col min="11035" max="11035" width="11.33203125" style="263" customWidth="1"/>
    <col min="11036" max="11036" width="14.21875" style="263" customWidth="1"/>
    <col min="11037" max="11037" width="12.21875" style="263" customWidth="1"/>
    <col min="11038" max="11038" width="0" style="263" hidden="1" customWidth="1"/>
    <col min="11039" max="11039" width="11.88671875" style="263" customWidth="1"/>
    <col min="11040" max="11040" width="8.88671875" style="263" customWidth="1"/>
    <col min="11041" max="11041" width="12.33203125" style="263" customWidth="1"/>
    <col min="11042" max="11042" width="1.44140625" style="263" customWidth="1"/>
    <col min="11043" max="11043" width="10.77734375" style="263" customWidth="1"/>
    <col min="11044" max="11044" width="1.44140625" style="263" customWidth="1"/>
    <col min="11045" max="11045" width="8" style="263" customWidth="1"/>
    <col min="11046" max="11046" width="1.44140625" style="263" customWidth="1"/>
    <col min="11047" max="11047" width="17.77734375" style="263" customWidth="1"/>
    <col min="11048" max="11048" width="1.44140625" style="263" customWidth="1"/>
    <col min="11049" max="11049" width="17.77734375" style="263" customWidth="1"/>
    <col min="11050" max="11050" width="1.44140625" style="263" customWidth="1"/>
    <col min="11051" max="11259" width="8" style="263"/>
    <col min="11260" max="11260" width="1.44140625" style="263" customWidth="1"/>
    <col min="11261" max="11261" width="4.5546875" style="263" customWidth="1"/>
    <col min="11262" max="11262" width="9.21875" style="263" customWidth="1"/>
    <col min="11263" max="11263" width="14.109375" style="263" bestFit="1" customWidth="1"/>
    <col min="11264" max="11265" width="12.33203125" style="263" customWidth="1"/>
    <col min="11266" max="11266" width="13" style="263" bestFit="1" customWidth="1"/>
    <col min="11267" max="11267" width="14" style="263" customWidth="1"/>
    <col min="11268" max="11268" width="14.109375" style="263" bestFit="1" customWidth="1"/>
    <col min="11269" max="11270" width="12.33203125" style="263" customWidth="1"/>
    <col min="11271" max="11271" width="14.5546875" style="263" customWidth="1"/>
    <col min="11272" max="11272" width="14.44140625" style="263" customWidth="1"/>
    <col min="11273" max="11273" width="13.77734375" style="263" customWidth="1"/>
    <col min="11274" max="11276" width="13.109375" style="263" customWidth="1"/>
    <col min="11277" max="11277" width="14" style="263" customWidth="1"/>
    <col min="11278" max="11283" width="13.109375" style="263" customWidth="1"/>
    <col min="11284" max="11284" width="12.88671875" style="263" customWidth="1"/>
    <col min="11285" max="11285" width="10.5546875" style="263" customWidth="1"/>
    <col min="11286" max="11286" width="11.77734375" style="263" customWidth="1"/>
    <col min="11287" max="11287" width="13" style="263" bestFit="1" customWidth="1"/>
    <col min="11288" max="11288" width="11.77734375" style="263" customWidth="1"/>
    <col min="11289" max="11289" width="12.88671875" style="263" customWidth="1"/>
    <col min="11290" max="11290" width="13.109375" style="263" customWidth="1"/>
    <col min="11291" max="11291" width="11.33203125" style="263" customWidth="1"/>
    <col min="11292" max="11292" width="14.21875" style="263" customWidth="1"/>
    <col min="11293" max="11293" width="12.21875" style="263" customWidth="1"/>
    <col min="11294" max="11294" width="0" style="263" hidden="1" customWidth="1"/>
    <col min="11295" max="11295" width="11.88671875" style="263" customWidth="1"/>
    <col min="11296" max="11296" width="8.88671875" style="263" customWidth="1"/>
    <col min="11297" max="11297" width="12.33203125" style="263" customWidth="1"/>
    <col min="11298" max="11298" width="1.44140625" style="263" customWidth="1"/>
    <col min="11299" max="11299" width="10.77734375" style="263" customWidth="1"/>
    <col min="11300" max="11300" width="1.44140625" style="263" customWidth="1"/>
    <col min="11301" max="11301" width="8" style="263" customWidth="1"/>
    <col min="11302" max="11302" width="1.44140625" style="263" customWidth="1"/>
    <col min="11303" max="11303" width="17.77734375" style="263" customWidth="1"/>
    <col min="11304" max="11304" width="1.44140625" style="263" customWidth="1"/>
    <col min="11305" max="11305" width="17.77734375" style="263" customWidth="1"/>
    <col min="11306" max="11306" width="1.44140625" style="263" customWidth="1"/>
    <col min="11307" max="11515" width="8" style="263"/>
    <col min="11516" max="11516" width="1.44140625" style="263" customWidth="1"/>
    <col min="11517" max="11517" width="4.5546875" style="263" customWidth="1"/>
    <col min="11518" max="11518" width="9.21875" style="263" customWidth="1"/>
    <col min="11519" max="11519" width="14.109375" style="263" bestFit="1" customWidth="1"/>
    <col min="11520" max="11521" width="12.33203125" style="263" customWidth="1"/>
    <col min="11522" max="11522" width="13" style="263" bestFit="1" customWidth="1"/>
    <col min="11523" max="11523" width="14" style="263" customWidth="1"/>
    <col min="11524" max="11524" width="14.109375" style="263" bestFit="1" customWidth="1"/>
    <col min="11525" max="11526" width="12.33203125" style="263" customWidth="1"/>
    <col min="11527" max="11527" width="14.5546875" style="263" customWidth="1"/>
    <col min="11528" max="11528" width="14.44140625" style="263" customWidth="1"/>
    <col min="11529" max="11529" width="13.77734375" style="263" customWidth="1"/>
    <col min="11530" max="11532" width="13.109375" style="263" customWidth="1"/>
    <col min="11533" max="11533" width="14" style="263" customWidth="1"/>
    <col min="11534" max="11539" width="13.109375" style="263" customWidth="1"/>
    <col min="11540" max="11540" width="12.88671875" style="263" customWidth="1"/>
    <col min="11541" max="11541" width="10.5546875" style="263" customWidth="1"/>
    <col min="11542" max="11542" width="11.77734375" style="263" customWidth="1"/>
    <col min="11543" max="11543" width="13" style="263" bestFit="1" customWidth="1"/>
    <col min="11544" max="11544" width="11.77734375" style="263" customWidth="1"/>
    <col min="11545" max="11545" width="12.88671875" style="263" customWidth="1"/>
    <col min="11546" max="11546" width="13.109375" style="263" customWidth="1"/>
    <col min="11547" max="11547" width="11.33203125" style="263" customWidth="1"/>
    <col min="11548" max="11548" width="14.21875" style="263" customWidth="1"/>
    <col min="11549" max="11549" width="12.21875" style="263" customWidth="1"/>
    <col min="11550" max="11550" width="0" style="263" hidden="1" customWidth="1"/>
    <col min="11551" max="11551" width="11.88671875" style="263" customWidth="1"/>
    <col min="11552" max="11552" width="8.88671875" style="263" customWidth="1"/>
    <col min="11553" max="11553" width="12.33203125" style="263" customWidth="1"/>
    <col min="11554" max="11554" width="1.44140625" style="263" customWidth="1"/>
    <col min="11555" max="11555" width="10.77734375" style="263" customWidth="1"/>
    <col min="11556" max="11556" width="1.44140625" style="263" customWidth="1"/>
    <col min="11557" max="11557" width="8" style="263" customWidth="1"/>
    <col min="11558" max="11558" width="1.44140625" style="263" customWidth="1"/>
    <col min="11559" max="11559" width="17.77734375" style="263" customWidth="1"/>
    <col min="11560" max="11560" width="1.44140625" style="263" customWidth="1"/>
    <col min="11561" max="11561" width="17.77734375" style="263" customWidth="1"/>
    <col min="11562" max="11562" width="1.44140625" style="263" customWidth="1"/>
    <col min="11563" max="11771" width="8" style="263"/>
    <col min="11772" max="11772" width="1.44140625" style="263" customWidth="1"/>
    <col min="11773" max="11773" width="4.5546875" style="263" customWidth="1"/>
    <col min="11774" max="11774" width="9.21875" style="263" customWidth="1"/>
    <col min="11775" max="11775" width="14.109375" style="263" bestFit="1" customWidth="1"/>
    <col min="11776" max="11777" width="12.33203125" style="263" customWidth="1"/>
    <col min="11778" max="11778" width="13" style="263" bestFit="1" customWidth="1"/>
    <col min="11779" max="11779" width="14" style="263" customWidth="1"/>
    <col min="11780" max="11780" width="14.109375" style="263" bestFit="1" customWidth="1"/>
    <col min="11781" max="11782" width="12.33203125" style="263" customWidth="1"/>
    <col min="11783" max="11783" width="14.5546875" style="263" customWidth="1"/>
    <col min="11784" max="11784" width="14.44140625" style="263" customWidth="1"/>
    <col min="11785" max="11785" width="13.77734375" style="263" customWidth="1"/>
    <col min="11786" max="11788" width="13.109375" style="263" customWidth="1"/>
    <col min="11789" max="11789" width="14" style="263" customWidth="1"/>
    <col min="11790" max="11795" width="13.109375" style="263" customWidth="1"/>
    <col min="11796" max="11796" width="12.88671875" style="263" customWidth="1"/>
    <col min="11797" max="11797" width="10.5546875" style="263" customWidth="1"/>
    <col min="11798" max="11798" width="11.77734375" style="263" customWidth="1"/>
    <col min="11799" max="11799" width="13" style="263" bestFit="1" customWidth="1"/>
    <col min="11800" max="11800" width="11.77734375" style="263" customWidth="1"/>
    <col min="11801" max="11801" width="12.88671875" style="263" customWidth="1"/>
    <col min="11802" max="11802" width="13.109375" style="263" customWidth="1"/>
    <col min="11803" max="11803" width="11.33203125" style="263" customWidth="1"/>
    <col min="11804" max="11804" width="14.21875" style="263" customWidth="1"/>
    <col min="11805" max="11805" width="12.21875" style="263" customWidth="1"/>
    <col min="11806" max="11806" width="0" style="263" hidden="1" customWidth="1"/>
    <col min="11807" max="11807" width="11.88671875" style="263" customWidth="1"/>
    <col min="11808" max="11808" width="8.88671875" style="263" customWidth="1"/>
    <col min="11809" max="11809" width="12.33203125" style="263" customWidth="1"/>
    <col min="11810" max="11810" width="1.44140625" style="263" customWidth="1"/>
    <col min="11811" max="11811" width="10.77734375" style="263" customWidth="1"/>
    <col min="11812" max="11812" width="1.44140625" style="263" customWidth="1"/>
    <col min="11813" max="11813" width="8" style="263" customWidth="1"/>
    <col min="11814" max="11814" width="1.44140625" style="263" customWidth="1"/>
    <col min="11815" max="11815" width="17.77734375" style="263" customWidth="1"/>
    <col min="11816" max="11816" width="1.44140625" style="263" customWidth="1"/>
    <col min="11817" max="11817" width="17.77734375" style="263" customWidth="1"/>
    <col min="11818" max="11818" width="1.44140625" style="263" customWidth="1"/>
    <col min="11819" max="12027" width="8" style="263"/>
    <col min="12028" max="12028" width="1.44140625" style="263" customWidth="1"/>
    <col min="12029" max="12029" width="4.5546875" style="263" customWidth="1"/>
    <col min="12030" max="12030" width="9.21875" style="263" customWidth="1"/>
    <col min="12031" max="12031" width="14.109375" style="263" bestFit="1" customWidth="1"/>
    <col min="12032" max="12033" width="12.33203125" style="263" customWidth="1"/>
    <col min="12034" max="12034" width="13" style="263" bestFit="1" customWidth="1"/>
    <col min="12035" max="12035" width="14" style="263" customWidth="1"/>
    <col min="12036" max="12036" width="14.109375" style="263" bestFit="1" customWidth="1"/>
    <col min="12037" max="12038" width="12.33203125" style="263" customWidth="1"/>
    <col min="12039" max="12039" width="14.5546875" style="263" customWidth="1"/>
    <col min="12040" max="12040" width="14.44140625" style="263" customWidth="1"/>
    <col min="12041" max="12041" width="13.77734375" style="263" customWidth="1"/>
    <col min="12042" max="12044" width="13.109375" style="263" customWidth="1"/>
    <col min="12045" max="12045" width="14" style="263" customWidth="1"/>
    <col min="12046" max="12051" width="13.109375" style="263" customWidth="1"/>
    <col min="12052" max="12052" width="12.88671875" style="263" customWidth="1"/>
    <col min="12053" max="12053" width="10.5546875" style="263" customWidth="1"/>
    <col min="12054" max="12054" width="11.77734375" style="263" customWidth="1"/>
    <col min="12055" max="12055" width="13" style="263" bestFit="1" customWidth="1"/>
    <col min="12056" max="12056" width="11.77734375" style="263" customWidth="1"/>
    <col min="12057" max="12057" width="12.88671875" style="263" customWidth="1"/>
    <col min="12058" max="12058" width="13.109375" style="263" customWidth="1"/>
    <col min="12059" max="12059" width="11.33203125" style="263" customWidth="1"/>
    <col min="12060" max="12060" width="14.21875" style="263" customWidth="1"/>
    <col min="12061" max="12061" width="12.21875" style="263" customWidth="1"/>
    <col min="12062" max="12062" width="0" style="263" hidden="1" customWidth="1"/>
    <col min="12063" max="12063" width="11.88671875" style="263" customWidth="1"/>
    <col min="12064" max="12064" width="8.88671875" style="263" customWidth="1"/>
    <col min="12065" max="12065" width="12.33203125" style="263" customWidth="1"/>
    <col min="12066" max="12066" width="1.44140625" style="263" customWidth="1"/>
    <col min="12067" max="12067" width="10.77734375" style="263" customWidth="1"/>
    <col min="12068" max="12068" width="1.44140625" style="263" customWidth="1"/>
    <col min="12069" max="12069" width="8" style="263" customWidth="1"/>
    <col min="12070" max="12070" width="1.44140625" style="263" customWidth="1"/>
    <col min="12071" max="12071" width="17.77734375" style="263" customWidth="1"/>
    <col min="12072" max="12072" width="1.44140625" style="263" customWidth="1"/>
    <col min="12073" max="12073" width="17.77734375" style="263" customWidth="1"/>
    <col min="12074" max="12074" width="1.44140625" style="263" customWidth="1"/>
    <col min="12075" max="12283" width="8" style="263"/>
    <col min="12284" max="12284" width="1.44140625" style="263" customWidth="1"/>
    <col min="12285" max="12285" width="4.5546875" style="263" customWidth="1"/>
    <col min="12286" max="12286" width="9.21875" style="263" customWidth="1"/>
    <col min="12287" max="12287" width="14.109375" style="263" bestFit="1" customWidth="1"/>
    <col min="12288" max="12289" width="12.33203125" style="263" customWidth="1"/>
    <col min="12290" max="12290" width="13" style="263" bestFit="1" customWidth="1"/>
    <col min="12291" max="12291" width="14" style="263" customWidth="1"/>
    <col min="12292" max="12292" width="14.109375" style="263" bestFit="1" customWidth="1"/>
    <col min="12293" max="12294" width="12.33203125" style="263" customWidth="1"/>
    <col min="12295" max="12295" width="14.5546875" style="263" customWidth="1"/>
    <col min="12296" max="12296" width="14.44140625" style="263" customWidth="1"/>
    <col min="12297" max="12297" width="13.77734375" style="263" customWidth="1"/>
    <col min="12298" max="12300" width="13.109375" style="263" customWidth="1"/>
    <col min="12301" max="12301" width="14" style="263" customWidth="1"/>
    <col min="12302" max="12307" width="13.109375" style="263" customWidth="1"/>
    <col min="12308" max="12308" width="12.88671875" style="263" customWidth="1"/>
    <col min="12309" max="12309" width="10.5546875" style="263" customWidth="1"/>
    <col min="12310" max="12310" width="11.77734375" style="263" customWidth="1"/>
    <col min="12311" max="12311" width="13" style="263" bestFit="1" customWidth="1"/>
    <col min="12312" max="12312" width="11.77734375" style="263" customWidth="1"/>
    <col min="12313" max="12313" width="12.88671875" style="263" customWidth="1"/>
    <col min="12314" max="12314" width="13.109375" style="263" customWidth="1"/>
    <col min="12315" max="12315" width="11.33203125" style="263" customWidth="1"/>
    <col min="12316" max="12316" width="14.21875" style="263" customWidth="1"/>
    <col min="12317" max="12317" width="12.21875" style="263" customWidth="1"/>
    <col min="12318" max="12318" width="0" style="263" hidden="1" customWidth="1"/>
    <col min="12319" max="12319" width="11.88671875" style="263" customWidth="1"/>
    <col min="12320" max="12320" width="8.88671875" style="263" customWidth="1"/>
    <col min="12321" max="12321" width="12.33203125" style="263" customWidth="1"/>
    <col min="12322" max="12322" width="1.44140625" style="263" customWidth="1"/>
    <col min="12323" max="12323" width="10.77734375" style="263" customWidth="1"/>
    <col min="12324" max="12324" width="1.44140625" style="263" customWidth="1"/>
    <col min="12325" max="12325" width="8" style="263" customWidth="1"/>
    <col min="12326" max="12326" width="1.44140625" style="263" customWidth="1"/>
    <col min="12327" max="12327" width="17.77734375" style="263" customWidth="1"/>
    <col min="12328" max="12328" width="1.44140625" style="263" customWidth="1"/>
    <col min="12329" max="12329" width="17.77734375" style="263" customWidth="1"/>
    <col min="12330" max="12330" width="1.44140625" style="263" customWidth="1"/>
    <col min="12331" max="12539" width="8" style="263"/>
    <col min="12540" max="12540" width="1.44140625" style="263" customWidth="1"/>
    <col min="12541" max="12541" width="4.5546875" style="263" customWidth="1"/>
    <col min="12542" max="12542" width="9.21875" style="263" customWidth="1"/>
    <col min="12543" max="12543" width="14.109375" style="263" bestFit="1" customWidth="1"/>
    <col min="12544" max="12545" width="12.33203125" style="263" customWidth="1"/>
    <col min="12546" max="12546" width="13" style="263" bestFit="1" customWidth="1"/>
    <col min="12547" max="12547" width="14" style="263" customWidth="1"/>
    <col min="12548" max="12548" width="14.109375" style="263" bestFit="1" customWidth="1"/>
    <col min="12549" max="12550" width="12.33203125" style="263" customWidth="1"/>
    <col min="12551" max="12551" width="14.5546875" style="263" customWidth="1"/>
    <col min="12552" max="12552" width="14.44140625" style="263" customWidth="1"/>
    <col min="12553" max="12553" width="13.77734375" style="263" customWidth="1"/>
    <col min="12554" max="12556" width="13.109375" style="263" customWidth="1"/>
    <col min="12557" max="12557" width="14" style="263" customWidth="1"/>
    <col min="12558" max="12563" width="13.109375" style="263" customWidth="1"/>
    <col min="12564" max="12564" width="12.88671875" style="263" customWidth="1"/>
    <col min="12565" max="12565" width="10.5546875" style="263" customWidth="1"/>
    <col min="12566" max="12566" width="11.77734375" style="263" customWidth="1"/>
    <col min="12567" max="12567" width="13" style="263" bestFit="1" customWidth="1"/>
    <col min="12568" max="12568" width="11.77734375" style="263" customWidth="1"/>
    <col min="12569" max="12569" width="12.88671875" style="263" customWidth="1"/>
    <col min="12570" max="12570" width="13.109375" style="263" customWidth="1"/>
    <col min="12571" max="12571" width="11.33203125" style="263" customWidth="1"/>
    <col min="12572" max="12572" width="14.21875" style="263" customWidth="1"/>
    <col min="12573" max="12573" width="12.21875" style="263" customWidth="1"/>
    <col min="12574" max="12574" width="0" style="263" hidden="1" customWidth="1"/>
    <col min="12575" max="12575" width="11.88671875" style="263" customWidth="1"/>
    <col min="12576" max="12576" width="8.88671875" style="263" customWidth="1"/>
    <col min="12577" max="12577" width="12.33203125" style="263" customWidth="1"/>
    <col min="12578" max="12578" width="1.44140625" style="263" customWidth="1"/>
    <col min="12579" max="12579" width="10.77734375" style="263" customWidth="1"/>
    <col min="12580" max="12580" width="1.44140625" style="263" customWidth="1"/>
    <col min="12581" max="12581" width="8" style="263" customWidth="1"/>
    <col min="12582" max="12582" width="1.44140625" style="263" customWidth="1"/>
    <col min="12583" max="12583" width="17.77734375" style="263" customWidth="1"/>
    <col min="12584" max="12584" width="1.44140625" style="263" customWidth="1"/>
    <col min="12585" max="12585" width="17.77734375" style="263" customWidth="1"/>
    <col min="12586" max="12586" width="1.44140625" style="263" customWidth="1"/>
    <col min="12587" max="12795" width="8" style="263"/>
    <col min="12796" max="12796" width="1.44140625" style="263" customWidth="1"/>
    <col min="12797" max="12797" width="4.5546875" style="263" customWidth="1"/>
    <col min="12798" max="12798" width="9.21875" style="263" customWidth="1"/>
    <col min="12799" max="12799" width="14.109375" style="263" bestFit="1" customWidth="1"/>
    <col min="12800" max="12801" width="12.33203125" style="263" customWidth="1"/>
    <col min="12802" max="12802" width="13" style="263" bestFit="1" customWidth="1"/>
    <col min="12803" max="12803" width="14" style="263" customWidth="1"/>
    <col min="12804" max="12804" width="14.109375" style="263" bestFit="1" customWidth="1"/>
    <col min="12805" max="12806" width="12.33203125" style="263" customWidth="1"/>
    <col min="12807" max="12807" width="14.5546875" style="263" customWidth="1"/>
    <col min="12808" max="12808" width="14.44140625" style="263" customWidth="1"/>
    <col min="12809" max="12809" width="13.77734375" style="263" customWidth="1"/>
    <col min="12810" max="12812" width="13.109375" style="263" customWidth="1"/>
    <col min="12813" max="12813" width="14" style="263" customWidth="1"/>
    <col min="12814" max="12819" width="13.109375" style="263" customWidth="1"/>
    <col min="12820" max="12820" width="12.88671875" style="263" customWidth="1"/>
    <col min="12821" max="12821" width="10.5546875" style="263" customWidth="1"/>
    <col min="12822" max="12822" width="11.77734375" style="263" customWidth="1"/>
    <col min="12823" max="12823" width="13" style="263" bestFit="1" customWidth="1"/>
    <col min="12824" max="12824" width="11.77734375" style="263" customWidth="1"/>
    <col min="12825" max="12825" width="12.88671875" style="263" customWidth="1"/>
    <col min="12826" max="12826" width="13.109375" style="263" customWidth="1"/>
    <col min="12827" max="12827" width="11.33203125" style="263" customWidth="1"/>
    <col min="12828" max="12828" width="14.21875" style="263" customWidth="1"/>
    <col min="12829" max="12829" width="12.21875" style="263" customWidth="1"/>
    <col min="12830" max="12830" width="0" style="263" hidden="1" customWidth="1"/>
    <col min="12831" max="12831" width="11.88671875" style="263" customWidth="1"/>
    <col min="12832" max="12832" width="8.88671875" style="263" customWidth="1"/>
    <col min="12833" max="12833" width="12.33203125" style="263" customWidth="1"/>
    <col min="12834" max="12834" width="1.44140625" style="263" customWidth="1"/>
    <col min="12835" max="12835" width="10.77734375" style="263" customWidth="1"/>
    <col min="12836" max="12836" width="1.44140625" style="263" customWidth="1"/>
    <col min="12837" max="12837" width="8" style="263" customWidth="1"/>
    <col min="12838" max="12838" width="1.44140625" style="263" customWidth="1"/>
    <col min="12839" max="12839" width="17.77734375" style="263" customWidth="1"/>
    <col min="12840" max="12840" width="1.44140625" style="263" customWidth="1"/>
    <col min="12841" max="12841" width="17.77734375" style="263" customWidth="1"/>
    <col min="12842" max="12842" width="1.44140625" style="263" customWidth="1"/>
    <col min="12843" max="13051" width="8" style="263"/>
    <col min="13052" max="13052" width="1.44140625" style="263" customWidth="1"/>
    <col min="13053" max="13053" width="4.5546875" style="263" customWidth="1"/>
    <col min="13054" max="13054" width="9.21875" style="263" customWidth="1"/>
    <col min="13055" max="13055" width="14.109375" style="263" bestFit="1" customWidth="1"/>
    <col min="13056" max="13057" width="12.33203125" style="263" customWidth="1"/>
    <col min="13058" max="13058" width="13" style="263" bestFit="1" customWidth="1"/>
    <col min="13059" max="13059" width="14" style="263" customWidth="1"/>
    <col min="13060" max="13060" width="14.109375" style="263" bestFit="1" customWidth="1"/>
    <col min="13061" max="13062" width="12.33203125" style="263" customWidth="1"/>
    <col min="13063" max="13063" width="14.5546875" style="263" customWidth="1"/>
    <col min="13064" max="13064" width="14.44140625" style="263" customWidth="1"/>
    <col min="13065" max="13065" width="13.77734375" style="263" customWidth="1"/>
    <col min="13066" max="13068" width="13.109375" style="263" customWidth="1"/>
    <col min="13069" max="13069" width="14" style="263" customWidth="1"/>
    <col min="13070" max="13075" width="13.109375" style="263" customWidth="1"/>
    <col min="13076" max="13076" width="12.88671875" style="263" customWidth="1"/>
    <col min="13077" max="13077" width="10.5546875" style="263" customWidth="1"/>
    <col min="13078" max="13078" width="11.77734375" style="263" customWidth="1"/>
    <col min="13079" max="13079" width="13" style="263" bestFit="1" customWidth="1"/>
    <col min="13080" max="13080" width="11.77734375" style="263" customWidth="1"/>
    <col min="13081" max="13081" width="12.88671875" style="263" customWidth="1"/>
    <col min="13082" max="13082" width="13.109375" style="263" customWidth="1"/>
    <col min="13083" max="13083" width="11.33203125" style="263" customWidth="1"/>
    <col min="13084" max="13084" width="14.21875" style="263" customWidth="1"/>
    <col min="13085" max="13085" width="12.21875" style="263" customWidth="1"/>
    <col min="13086" max="13086" width="0" style="263" hidden="1" customWidth="1"/>
    <col min="13087" max="13087" width="11.88671875" style="263" customWidth="1"/>
    <col min="13088" max="13088" width="8.88671875" style="263" customWidth="1"/>
    <col min="13089" max="13089" width="12.33203125" style="263" customWidth="1"/>
    <col min="13090" max="13090" width="1.44140625" style="263" customWidth="1"/>
    <col min="13091" max="13091" width="10.77734375" style="263" customWidth="1"/>
    <col min="13092" max="13092" width="1.44140625" style="263" customWidth="1"/>
    <col min="13093" max="13093" width="8" style="263" customWidth="1"/>
    <col min="13094" max="13094" width="1.44140625" style="263" customWidth="1"/>
    <col min="13095" max="13095" width="17.77734375" style="263" customWidth="1"/>
    <col min="13096" max="13096" width="1.44140625" style="263" customWidth="1"/>
    <col min="13097" max="13097" width="17.77734375" style="263" customWidth="1"/>
    <col min="13098" max="13098" width="1.44140625" style="263" customWidth="1"/>
    <col min="13099" max="13307" width="8" style="263"/>
    <col min="13308" max="13308" width="1.44140625" style="263" customWidth="1"/>
    <col min="13309" max="13309" width="4.5546875" style="263" customWidth="1"/>
    <col min="13310" max="13310" width="9.21875" style="263" customWidth="1"/>
    <col min="13311" max="13311" width="14.109375" style="263" bestFit="1" customWidth="1"/>
    <col min="13312" max="13313" width="12.33203125" style="263" customWidth="1"/>
    <col min="13314" max="13314" width="13" style="263" bestFit="1" customWidth="1"/>
    <col min="13315" max="13315" width="14" style="263" customWidth="1"/>
    <col min="13316" max="13316" width="14.109375" style="263" bestFit="1" customWidth="1"/>
    <col min="13317" max="13318" width="12.33203125" style="263" customWidth="1"/>
    <col min="13319" max="13319" width="14.5546875" style="263" customWidth="1"/>
    <col min="13320" max="13320" width="14.44140625" style="263" customWidth="1"/>
    <col min="13321" max="13321" width="13.77734375" style="263" customWidth="1"/>
    <col min="13322" max="13324" width="13.109375" style="263" customWidth="1"/>
    <col min="13325" max="13325" width="14" style="263" customWidth="1"/>
    <col min="13326" max="13331" width="13.109375" style="263" customWidth="1"/>
    <col min="13332" max="13332" width="12.88671875" style="263" customWidth="1"/>
    <col min="13333" max="13333" width="10.5546875" style="263" customWidth="1"/>
    <col min="13334" max="13334" width="11.77734375" style="263" customWidth="1"/>
    <col min="13335" max="13335" width="13" style="263" bestFit="1" customWidth="1"/>
    <col min="13336" max="13336" width="11.77734375" style="263" customWidth="1"/>
    <col min="13337" max="13337" width="12.88671875" style="263" customWidth="1"/>
    <col min="13338" max="13338" width="13.109375" style="263" customWidth="1"/>
    <col min="13339" max="13339" width="11.33203125" style="263" customWidth="1"/>
    <col min="13340" max="13340" width="14.21875" style="263" customWidth="1"/>
    <col min="13341" max="13341" width="12.21875" style="263" customWidth="1"/>
    <col min="13342" max="13342" width="0" style="263" hidden="1" customWidth="1"/>
    <col min="13343" max="13343" width="11.88671875" style="263" customWidth="1"/>
    <col min="13344" max="13344" width="8.88671875" style="263" customWidth="1"/>
    <col min="13345" max="13345" width="12.33203125" style="263" customWidth="1"/>
    <col min="13346" max="13346" width="1.44140625" style="263" customWidth="1"/>
    <col min="13347" max="13347" width="10.77734375" style="263" customWidth="1"/>
    <col min="13348" max="13348" width="1.44140625" style="263" customWidth="1"/>
    <col min="13349" max="13349" width="8" style="263" customWidth="1"/>
    <col min="13350" max="13350" width="1.44140625" style="263" customWidth="1"/>
    <col min="13351" max="13351" width="17.77734375" style="263" customWidth="1"/>
    <col min="13352" max="13352" width="1.44140625" style="263" customWidth="1"/>
    <col min="13353" max="13353" width="17.77734375" style="263" customWidth="1"/>
    <col min="13354" max="13354" width="1.44140625" style="263" customWidth="1"/>
    <col min="13355" max="13563" width="8" style="263"/>
    <col min="13564" max="13564" width="1.44140625" style="263" customWidth="1"/>
    <col min="13565" max="13565" width="4.5546875" style="263" customWidth="1"/>
    <col min="13566" max="13566" width="9.21875" style="263" customWidth="1"/>
    <col min="13567" max="13567" width="14.109375" style="263" bestFit="1" customWidth="1"/>
    <col min="13568" max="13569" width="12.33203125" style="263" customWidth="1"/>
    <col min="13570" max="13570" width="13" style="263" bestFit="1" customWidth="1"/>
    <col min="13571" max="13571" width="14" style="263" customWidth="1"/>
    <col min="13572" max="13572" width="14.109375" style="263" bestFit="1" customWidth="1"/>
    <col min="13573" max="13574" width="12.33203125" style="263" customWidth="1"/>
    <col min="13575" max="13575" width="14.5546875" style="263" customWidth="1"/>
    <col min="13576" max="13576" width="14.44140625" style="263" customWidth="1"/>
    <col min="13577" max="13577" width="13.77734375" style="263" customWidth="1"/>
    <col min="13578" max="13580" width="13.109375" style="263" customWidth="1"/>
    <col min="13581" max="13581" width="14" style="263" customWidth="1"/>
    <col min="13582" max="13587" width="13.109375" style="263" customWidth="1"/>
    <col min="13588" max="13588" width="12.88671875" style="263" customWidth="1"/>
    <col min="13589" max="13589" width="10.5546875" style="263" customWidth="1"/>
    <col min="13590" max="13590" width="11.77734375" style="263" customWidth="1"/>
    <col min="13591" max="13591" width="13" style="263" bestFit="1" customWidth="1"/>
    <col min="13592" max="13592" width="11.77734375" style="263" customWidth="1"/>
    <col min="13593" max="13593" width="12.88671875" style="263" customWidth="1"/>
    <col min="13594" max="13594" width="13.109375" style="263" customWidth="1"/>
    <col min="13595" max="13595" width="11.33203125" style="263" customWidth="1"/>
    <col min="13596" max="13596" width="14.21875" style="263" customWidth="1"/>
    <col min="13597" max="13597" width="12.21875" style="263" customWidth="1"/>
    <col min="13598" max="13598" width="0" style="263" hidden="1" customWidth="1"/>
    <col min="13599" max="13599" width="11.88671875" style="263" customWidth="1"/>
    <col min="13600" max="13600" width="8.88671875" style="263" customWidth="1"/>
    <col min="13601" max="13601" width="12.33203125" style="263" customWidth="1"/>
    <col min="13602" max="13602" width="1.44140625" style="263" customWidth="1"/>
    <col min="13603" max="13603" width="10.77734375" style="263" customWidth="1"/>
    <col min="13604" max="13604" width="1.44140625" style="263" customWidth="1"/>
    <col min="13605" max="13605" width="8" style="263" customWidth="1"/>
    <col min="13606" max="13606" width="1.44140625" style="263" customWidth="1"/>
    <col min="13607" max="13607" width="17.77734375" style="263" customWidth="1"/>
    <col min="13608" max="13608" width="1.44140625" style="263" customWidth="1"/>
    <col min="13609" max="13609" width="17.77734375" style="263" customWidth="1"/>
    <col min="13610" max="13610" width="1.44140625" style="263" customWidth="1"/>
    <col min="13611" max="13819" width="8" style="263"/>
    <col min="13820" max="13820" width="1.44140625" style="263" customWidth="1"/>
    <col min="13821" max="13821" width="4.5546875" style="263" customWidth="1"/>
    <col min="13822" max="13822" width="9.21875" style="263" customWidth="1"/>
    <col min="13823" max="13823" width="14.109375" style="263" bestFit="1" customWidth="1"/>
    <col min="13824" max="13825" width="12.33203125" style="263" customWidth="1"/>
    <col min="13826" max="13826" width="13" style="263" bestFit="1" customWidth="1"/>
    <col min="13827" max="13827" width="14" style="263" customWidth="1"/>
    <col min="13828" max="13828" width="14.109375" style="263" bestFit="1" customWidth="1"/>
    <col min="13829" max="13830" width="12.33203125" style="263" customWidth="1"/>
    <col min="13831" max="13831" width="14.5546875" style="263" customWidth="1"/>
    <col min="13832" max="13832" width="14.44140625" style="263" customWidth="1"/>
    <col min="13833" max="13833" width="13.77734375" style="263" customWidth="1"/>
    <col min="13834" max="13836" width="13.109375" style="263" customWidth="1"/>
    <col min="13837" max="13837" width="14" style="263" customWidth="1"/>
    <col min="13838" max="13843" width="13.109375" style="263" customWidth="1"/>
    <col min="13844" max="13844" width="12.88671875" style="263" customWidth="1"/>
    <col min="13845" max="13845" width="10.5546875" style="263" customWidth="1"/>
    <col min="13846" max="13846" width="11.77734375" style="263" customWidth="1"/>
    <col min="13847" max="13847" width="13" style="263" bestFit="1" customWidth="1"/>
    <col min="13848" max="13848" width="11.77734375" style="263" customWidth="1"/>
    <col min="13849" max="13849" width="12.88671875" style="263" customWidth="1"/>
    <col min="13850" max="13850" width="13.109375" style="263" customWidth="1"/>
    <col min="13851" max="13851" width="11.33203125" style="263" customWidth="1"/>
    <col min="13852" max="13852" width="14.21875" style="263" customWidth="1"/>
    <col min="13853" max="13853" width="12.21875" style="263" customWidth="1"/>
    <col min="13854" max="13854" width="0" style="263" hidden="1" customWidth="1"/>
    <col min="13855" max="13855" width="11.88671875" style="263" customWidth="1"/>
    <col min="13856" max="13856" width="8.88671875" style="263" customWidth="1"/>
    <col min="13857" max="13857" width="12.33203125" style="263" customWidth="1"/>
    <col min="13858" max="13858" width="1.44140625" style="263" customWidth="1"/>
    <col min="13859" max="13859" width="10.77734375" style="263" customWidth="1"/>
    <col min="13860" max="13860" width="1.44140625" style="263" customWidth="1"/>
    <col min="13861" max="13861" width="8" style="263" customWidth="1"/>
    <col min="13862" max="13862" width="1.44140625" style="263" customWidth="1"/>
    <col min="13863" max="13863" width="17.77734375" style="263" customWidth="1"/>
    <col min="13864" max="13864" width="1.44140625" style="263" customWidth="1"/>
    <col min="13865" max="13865" width="17.77734375" style="263" customWidth="1"/>
    <col min="13866" max="13866" width="1.44140625" style="263" customWidth="1"/>
    <col min="13867" max="14075" width="8" style="263"/>
    <col min="14076" max="14076" width="1.44140625" style="263" customWidth="1"/>
    <col min="14077" max="14077" width="4.5546875" style="263" customWidth="1"/>
    <col min="14078" max="14078" width="9.21875" style="263" customWidth="1"/>
    <col min="14079" max="14079" width="14.109375" style="263" bestFit="1" customWidth="1"/>
    <col min="14080" max="14081" width="12.33203125" style="263" customWidth="1"/>
    <col min="14082" max="14082" width="13" style="263" bestFit="1" customWidth="1"/>
    <col min="14083" max="14083" width="14" style="263" customWidth="1"/>
    <col min="14084" max="14084" width="14.109375" style="263" bestFit="1" customWidth="1"/>
    <col min="14085" max="14086" width="12.33203125" style="263" customWidth="1"/>
    <col min="14087" max="14087" width="14.5546875" style="263" customWidth="1"/>
    <col min="14088" max="14088" width="14.44140625" style="263" customWidth="1"/>
    <col min="14089" max="14089" width="13.77734375" style="263" customWidth="1"/>
    <col min="14090" max="14092" width="13.109375" style="263" customWidth="1"/>
    <col min="14093" max="14093" width="14" style="263" customWidth="1"/>
    <col min="14094" max="14099" width="13.109375" style="263" customWidth="1"/>
    <col min="14100" max="14100" width="12.88671875" style="263" customWidth="1"/>
    <col min="14101" max="14101" width="10.5546875" style="263" customWidth="1"/>
    <col min="14102" max="14102" width="11.77734375" style="263" customWidth="1"/>
    <col min="14103" max="14103" width="13" style="263" bestFit="1" customWidth="1"/>
    <col min="14104" max="14104" width="11.77734375" style="263" customWidth="1"/>
    <col min="14105" max="14105" width="12.88671875" style="263" customWidth="1"/>
    <col min="14106" max="14106" width="13.109375" style="263" customWidth="1"/>
    <col min="14107" max="14107" width="11.33203125" style="263" customWidth="1"/>
    <col min="14108" max="14108" width="14.21875" style="263" customWidth="1"/>
    <col min="14109" max="14109" width="12.21875" style="263" customWidth="1"/>
    <col min="14110" max="14110" width="0" style="263" hidden="1" customWidth="1"/>
    <col min="14111" max="14111" width="11.88671875" style="263" customWidth="1"/>
    <col min="14112" max="14112" width="8.88671875" style="263" customWidth="1"/>
    <col min="14113" max="14113" width="12.33203125" style="263" customWidth="1"/>
    <col min="14114" max="14114" width="1.44140625" style="263" customWidth="1"/>
    <col min="14115" max="14115" width="10.77734375" style="263" customWidth="1"/>
    <col min="14116" max="14116" width="1.44140625" style="263" customWidth="1"/>
    <col min="14117" max="14117" width="8" style="263" customWidth="1"/>
    <col min="14118" max="14118" width="1.44140625" style="263" customWidth="1"/>
    <col min="14119" max="14119" width="17.77734375" style="263" customWidth="1"/>
    <col min="14120" max="14120" width="1.44140625" style="263" customWidth="1"/>
    <col min="14121" max="14121" width="17.77734375" style="263" customWidth="1"/>
    <col min="14122" max="14122" width="1.44140625" style="263" customWidth="1"/>
    <col min="14123" max="14331" width="8" style="263"/>
    <col min="14332" max="14332" width="1.44140625" style="263" customWidth="1"/>
    <col min="14333" max="14333" width="4.5546875" style="263" customWidth="1"/>
    <col min="14334" max="14334" width="9.21875" style="263" customWidth="1"/>
    <col min="14335" max="14335" width="14.109375" style="263" bestFit="1" customWidth="1"/>
    <col min="14336" max="14337" width="12.33203125" style="263" customWidth="1"/>
    <col min="14338" max="14338" width="13" style="263" bestFit="1" customWidth="1"/>
    <col min="14339" max="14339" width="14" style="263" customWidth="1"/>
    <col min="14340" max="14340" width="14.109375" style="263" bestFit="1" customWidth="1"/>
    <col min="14341" max="14342" width="12.33203125" style="263" customWidth="1"/>
    <col min="14343" max="14343" width="14.5546875" style="263" customWidth="1"/>
    <col min="14344" max="14344" width="14.44140625" style="263" customWidth="1"/>
    <col min="14345" max="14345" width="13.77734375" style="263" customWidth="1"/>
    <col min="14346" max="14348" width="13.109375" style="263" customWidth="1"/>
    <col min="14349" max="14349" width="14" style="263" customWidth="1"/>
    <col min="14350" max="14355" width="13.109375" style="263" customWidth="1"/>
    <col min="14356" max="14356" width="12.88671875" style="263" customWidth="1"/>
    <col min="14357" max="14357" width="10.5546875" style="263" customWidth="1"/>
    <col min="14358" max="14358" width="11.77734375" style="263" customWidth="1"/>
    <col min="14359" max="14359" width="13" style="263" bestFit="1" customWidth="1"/>
    <col min="14360" max="14360" width="11.77734375" style="263" customWidth="1"/>
    <col min="14361" max="14361" width="12.88671875" style="263" customWidth="1"/>
    <col min="14362" max="14362" width="13.109375" style="263" customWidth="1"/>
    <col min="14363" max="14363" width="11.33203125" style="263" customWidth="1"/>
    <col min="14364" max="14364" width="14.21875" style="263" customWidth="1"/>
    <col min="14365" max="14365" width="12.21875" style="263" customWidth="1"/>
    <col min="14366" max="14366" width="0" style="263" hidden="1" customWidth="1"/>
    <col min="14367" max="14367" width="11.88671875" style="263" customWidth="1"/>
    <col min="14368" max="14368" width="8.88671875" style="263" customWidth="1"/>
    <col min="14369" max="14369" width="12.33203125" style="263" customWidth="1"/>
    <col min="14370" max="14370" width="1.44140625" style="263" customWidth="1"/>
    <col min="14371" max="14371" width="10.77734375" style="263" customWidth="1"/>
    <col min="14372" max="14372" width="1.44140625" style="263" customWidth="1"/>
    <col min="14373" max="14373" width="8" style="263" customWidth="1"/>
    <col min="14374" max="14374" width="1.44140625" style="263" customWidth="1"/>
    <col min="14375" max="14375" width="17.77734375" style="263" customWidth="1"/>
    <col min="14376" max="14376" width="1.44140625" style="263" customWidth="1"/>
    <col min="14377" max="14377" width="17.77734375" style="263" customWidth="1"/>
    <col min="14378" max="14378" width="1.44140625" style="263" customWidth="1"/>
    <col min="14379" max="14587" width="8" style="263"/>
    <col min="14588" max="14588" width="1.44140625" style="263" customWidth="1"/>
    <col min="14589" max="14589" width="4.5546875" style="263" customWidth="1"/>
    <col min="14590" max="14590" width="9.21875" style="263" customWidth="1"/>
    <col min="14591" max="14591" width="14.109375" style="263" bestFit="1" customWidth="1"/>
    <col min="14592" max="14593" width="12.33203125" style="263" customWidth="1"/>
    <col min="14594" max="14594" width="13" style="263" bestFit="1" customWidth="1"/>
    <col min="14595" max="14595" width="14" style="263" customWidth="1"/>
    <col min="14596" max="14596" width="14.109375" style="263" bestFit="1" customWidth="1"/>
    <col min="14597" max="14598" width="12.33203125" style="263" customWidth="1"/>
    <col min="14599" max="14599" width="14.5546875" style="263" customWidth="1"/>
    <col min="14600" max="14600" width="14.44140625" style="263" customWidth="1"/>
    <col min="14601" max="14601" width="13.77734375" style="263" customWidth="1"/>
    <col min="14602" max="14604" width="13.109375" style="263" customWidth="1"/>
    <col min="14605" max="14605" width="14" style="263" customWidth="1"/>
    <col min="14606" max="14611" width="13.109375" style="263" customWidth="1"/>
    <col min="14612" max="14612" width="12.88671875" style="263" customWidth="1"/>
    <col min="14613" max="14613" width="10.5546875" style="263" customWidth="1"/>
    <col min="14614" max="14614" width="11.77734375" style="263" customWidth="1"/>
    <col min="14615" max="14615" width="13" style="263" bestFit="1" customWidth="1"/>
    <col min="14616" max="14616" width="11.77734375" style="263" customWidth="1"/>
    <col min="14617" max="14617" width="12.88671875" style="263" customWidth="1"/>
    <col min="14618" max="14618" width="13.109375" style="263" customWidth="1"/>
    <col min="14619" max="14619" width="11.33203125" style="263" customWidth="1"/>
    <col min="14620" max="14620" width="14.21875" style="263" customWidth="1"/>
    <col min="14621" max="14621" width="12.21875" style="263" customWidth="1"/>
    <col min="14622" max="14622" width="0" style="263" hidden="1" customWidth="1"/>
    <col min="14623" max="14623" width="11.88671875" style="263" customWidth="1"/>
    <col min="14624" max="14624" width="8.88671875" style="263" customWidth="1"/>
    <col min="14625" max="14625" width="12.33203125" style="263" customWidth="1"/>
    <col min="14626" max="14626" width="1.44140625" style="263" customWidth="1"/>
    <col min="14627" max="14627" width="10.77734375" style="263" customWidth="1"/>
    <col min="14628" max="14628" width="1.44140625" style="263" customWidth="1"/>
    <col min="14629" max="14629" width="8" style="263" customWidth="1"/>
    <col min="14630" max="14630" width="1.44140625" style="263" customWidth="1"/>
    <col min="14631" max="14631" width="17.77734375" style="263" customWidth="1"/>
    <col min="14632" max="14632" width="1.44140625" style="263" customWidth="1"/>
    <col min="14633" max="14633" width="17.77734375" style="263" customWidth="1"/>
    <col min="14634" max="14634" width="1.44140625" style="263" customWidth="1"/>
    <col min="14635" max="14843" width="8" style="263"/>
    <col min="14844" max="14844" width="1.44140625" style="263" customWidth="1"/>
    <col min="14845" max="14845" width="4.5546875" style="263" customWidth="1"/>
    <col min="14846" max="14846" width="9.21875" style="263" customWidth="1"/>
    <col min="14847" max="14847" width="14.109375" style="263" bestFit="1" customWidth="1"/>
    <col min="14848" max="14849" width="12.33203125" style="263" customWidth="1"/>
    <col min="14850" max="14850" width="13" style="263" bestFit="1" customWidth="1"/>
    <col min="14851" max="14851" width="14" style="263" customWidth="1"/>
    <col min="14852" max="14852" width="14.109375" style="263" bestFit="1" customWidth="1"/>
    <col min="14853" max="14854" width="12.33203125" style="263" customWidth="1"/>
    <col min="14855" max="14855" width="14.5546875" style="263" customWidth="1"/>
    <col min="14856" max="14856" width="14.44140625" style="263" customWidth="1"/>
    <col min="14857" max="14857" width="13.77734375" style="263" customWidth="1"/>
    <col min="14858" max="14860" width="13.109375" style="263" customWidth="1"/>
    <col min="14861" max="14861" width="14" style="263" customWidth="1"/>
    <col min="14862" max="14867" width="13.109375" style="263" customWidth="1"/>
    <col min="14868" max="14868" width="12.88671875" style="263" customWidth="1"/>
    <col min="14869" max="14869" width="10.5546875" style="263" customWidth="1"/>
    <col min="14870" max="14870" width="11.77734375" style="263" customWidth="1"/>
    <col min="14871" max="14871" width="13" style="263" bestFit="1" customWidth="1"/>
    <col min="14872" max="14872" width="11.77734375" style="263" customWidth="1"/>
    <col min="14873" max="14873" width="12.88671875" style="263" customWidth="1"/>
    <col min="14874" max="14874" width="13.109375" style="263" customWidth="1"/>
    <col min="14875" max="14875" width="11.33203125" style="263" customWidth="1"/>
    <col min="14876" max="14876" width="14.21875" style="263" customWidth="1"/>
    <col min="14877" max="14877" width="12.21875" style="263" customWidth="1"/>
    <col min="14878" max="14878" width="0" style="263" hidden="1" customWidth="1"/>
    <col min="14879" max="14879" width="11.88671875" style="263" customWidth="1"/>
    <col min="14880" max="14880" width="8.88671875" style="263" customWidth="1"/>
    <col min="14881" max="14881" width="12.33203125" style="263" customWidth="1"/>
    <col min="14882" max="14882" width="1.44140625" style="263" customWidth="1"/>
    <col min="14883" max="14883" width="10.77734375" style="263" customWidth="1"/>
    <col min="14884" max="14884" width="1.44140625" style="263" customWidth="1"/>
    <col min="14885" max="14885" width="8" style="263" customWidth="1"/>
    <col min="14886" max="14886" width="1.44140625" style="263" customWidth="1"/>
    <col min="14887" max="14887" width="17.77734375" style="263" customWidth="1"/>
    <col min="14888" max="14888" width="1.44140625" style="263" customWidth="1"/>
    <col min="14889" max="14889" width="17.77734375" style="263" customWidth="1"/>
    <col min="14890" max="14890" width="1.44140625" style="263" customWidth="1"/>
    <col min="14891" max="15099" width="8" style="263"/>
    <col min="15100" max="15100" width="1.44140625" style="263" customWidth="1"/>
    <col min="15101" max="15101" width="4.5546875" style="263" customWidth="1"/>
    <col min="15102" max="15102" width="9.21875" style="263" customWidth="1"/>
    <col min="15103" max="15103" width="14.109375" style="263" bestFit="1" customWidth="1"/>
    <col min="15104" max="15105" width="12.33203125" style="263" customWidth="1"/>
    <col min="15106" max="15106" width="13" style="263" bestFit="1" customWidth="1"/>
    <col min="15107" max="15107" width="14" style="263" customWidth="1"/>
    <col min="15108" max="15108" width="14.109375" style="263" bestFit="1" customWidth="1"/>
    <col min="15109" max="15110" width="12.33203125" style="263" customWidth="1"/>
    <col min="15111" max="15111" width="14.5546875" style="263" customWidth="1"/>
    <col min="15112" max="15112" width="14.44140625" style="263" customWidth="1"/>
    <col min="15113" max="15113" width="13.77734375" style="263" customWidth="1"/>
    <col min="15114" max="15116" width="13.109375" style="263" customWidth="1"/>
    <col min="15117" max="15117" width="14" style="263" customWidth="1"/>
    <col min="15118" max="15123" width="13.109375" style="263" customWidth="1"/>
    <col min="15124" max="15124" width="12.88671875" style="263" customWidth="1"/>
    <col min="15125" max="15125" width="10.5546875" style="263" customWidth="1"/>
    <col min="15126" max="15126" width="11.77734375" style="263" customWidth="1"/>
    <col min="15127" max="15127" width="13" style="263" bestFit="1" customWidth="1"/>
    <col min="15128" max="15128" width="11.77734375" style="263" customWidth="1"/>
    <col min="15129" max="15129" width="12.88671875" style="263" customWidth="1"/>
    <col min="15130" max="15130" width="13.109375" style="263" customWidth="1"/>
    <col min="15131" max="15131" width="11.33203125" style="263" customWidth="1"/>
    <col min="15132" max="15132" width="14.21875" style="263" customWidth="1"/>
    <col min="15133" max="15133" width="12.21875" style="263" customWidth="1"/>
    <col min="15134" max="15134" width="0" style="263" hidden="1" customWidth="1"/>
    <col min="15135" max="15135" width="11.88671875" style="263" customWidth="1"/>
    <col min="15136" max="15136" width="8.88671875" style="263" customWidth="1"/>
    <col min="15137" max="15137" width="12.33203125" style="263" customWidth="1"/>
    <col min="15138" max="15138" width="1.44140625" style="263" customWidth="1"/>
    <col min="15139" max="15139" width="10.77734375" style="263" customWidth="1"/>
    <col min="15140" max="15140" width="1.44140625" style="263" customWidth="1"/>
    <col min="15141" max="15141" width="8" style="263" customWidth="1"/>
    <col min="15142" max="15142" width="1.44140625" style="263" customWidth="1"/>
    <col min="15143" max="15143" width="17.77734375" style="263" customWidth="1"/>
    <col min="15144" max="15144" width="1.44140625" style="263" customWidth="1"/>
    <col min="15145" max="15145" width="17.77734375" style="263" customWidth="1"/>
    <col min="15146" max="15146" width="1.44140625" style="263" customWidth="1"/>
    <col min="15147" max="15355" width="8" style="263"/>
    <col min="15356" max="15356" width="1.44140625" style="263" customWidth="1"/>
    <col min="15357" max="15357" width="4.5546875" style="263" customWidth="1"/>
    <col min="15358" max="15358" width="9.21875" style="263" customWidth="1"/>
    <col min="15359" max="15359" width="14.109375" style="263" bestFit="1" customWidth="1"/>
    <col min="15360" max="15361" width="12.33203125" style="263" customWidth="1"/>
    <col min="15362" max="15362" width="13" style="263" bestFit="1" customWidth="1"/>
    <col min="15363" max="15363" width="14" style="263" customWidth="1"/>
    <col min="15364" max="15364" width="14.109375" style="263" bestFit="1" customWidth="1"/>
    <col min="15365" max="15366" width="12.33203125" style="263" customWidth="1"/>
    <col min="15367" max="15367" width="14.5546875" style="263" customWidth="1"/>
    <col min="15368" max="15368" width="14.44140625" style="263" customWidth="1"/>
    <col min="15369" max="15369" width="13.77734375" style="263" customWidth="1"/>
    <col min="15370" max="15372" width="13.109375" style="263" customWidth="1"/>
    <col min="15373" max="15373" width="14" style="263" customWidth="1"/>
    <col min="15374" max="15379" width="13.109375" style="263" customWidth="1"/>
    <col min="15380" max="15380" width="12.88671875" style="263" customWidth="1"/>
    <col min="15381" max="15381" width="10.5546875" style="263" customWidth="1"/>
    <col min="15382" max="15382" width="11.77734375" style="263" customWidth="1"/>
    <col min="15383" max="15383" width="13" style="263" bestFit="1" customWidth="1"/>
    <col min="15384" max="15384" width="11.77734375" style="263" customWidth="1"/>
    <col min="15385" max="15385" width="12.88671875" style="263" customWidth="1"/>
    <col min="15386" max="15386" width="13.109375" style="263" customWidth="1"/>
    <col min="15387" max="15387" width="11.33203125" style="263" customWidth="1"/>
    <col min="15388" max="15388" width="14.21875" style="263" customWidth="1"/>
    <col min="15389" max="15389" width="12.21875" style="263" customWidth="1"/>
    <col min="15390" max="15390" width="0" style="263" hidden="1" customWidth="1"/>
    <col min="15391" max="15391" width="11.88671875" style="263" customWidth="1"/>
    <col min="15392" max="15392" width="8.88671875" style="263" customWidth="1"/>
    <col min="15393" max="15393" width="12.33203125" style="263" customWidth="1"/>
    <col min="15394" max="15394" width="1.44140625" style="263" customWidth="1"/>
    <col min="15395" max="15395" width="10.77734375" style="263" customWidth="1"/>
    <col min="15396" max="15396" width="1.44140625" style="263" customWidth="1"/>
    <col min="15397" max="15397" width="8" style="263" customWidth="1"/>
    <col min="15398" max="15398" width="1.44140625" style="263" customWidth="1"/>
    <col min="15399" max="15399" width="17.77734375" style="263" customWidth="1"/>
    <col min="15400" max="15400" width="1.44140625" style="263" customWidth="1"/>
    <col min="15401" max="15401" width="17.77734375" style="263" customWidth="1"/>
    <col min="15402" max="15402" width="1.44140625" style="263" customWidth="1"/>
    <col min="15403" max="15611" width="8" style="263"/>
    <col min="15612" max="15612" width="1.44140625" style="263" customWidth="1"/>
    <col min="15613" max="15613" width="4.5546875" style="263" customWidth="1"/>
    <col min="15614" max="15614" width="9.21875" style="263" customWidth="1"/>
    <col min="15615" max="15615" width="14.109375" style="263" bestFit="1" customWidth="1"/>
    <col min="15616" max="15617" width="12.33203125" style="263" customWidth="1"/>
    <col min="15618" max="15618" width="13" style="263" bestFit="1" customWidth="1"/>
    <col min="15619" max="15619" width="14" style="263" customWidth="1"/>
    <col min="15620" max="15620" width="14.109375" style="263" bestFit="1" customWidth="1"/>
    <col min="15621" max="15622" width="12.33203125" style="263" customWidth="1"/>
    <col min="15623" max="15623" width="14.5546875" style="263" customWidth="1"/>
    <col min="15624" max="15624" width="14.44140625" style="263" customWidth="1"/>
    <col min="15625" max="15625" width="13.77734375" style="263" customWidth="1"/>
    <col min="15626" max="15628" width="13.109375" style="263" customWidth="1"/>
    <col min="15629" max="15629" width="14" style="263" customWidth="1"/>
    <col min="15630" max="15635" width="13.109375" style="263" customWidth="1"/>
    <col min="15636" max="15636" width="12.88671875" style="263" customWidth="1"/>
    <col min="15637" max="15637" width="10.5546875" style="263" customWidth="1"/>
    <col min="15638" max="15638" width="11.77734375" style="263" customWidth="1"/>
    <col min="15639" max="15639" width="13" style="263" bestFit="1" customWidth="1"/>
    <col min="15640" max="15640" width="11.77734375" style="263" customWidth="1"/>
    <col min="15641" max="15641" width="12.88671875" style="263" customWidth="1"/>
    <col min="15642" max="15642" width="13.109375" style="263" customWidth="1"/>
    <col min="15643" max="15643" width="11.33203125" style="263" customWidth="1"/>
    <col min="15644" max="15644" width="14.21875" style="263" customWidth="1"/>
    <col min="15645" max="15645" width="12.21875" style="263" customWidth="1"/>
    <col min="15646" max="15646" width="0" style="263" hidden="1" customWidth="1"/>
    <col min="15647" max="15647" width="11.88671875" style="263" customWidth="1"/>
    <col min="15648" max="15648" width="8.88671875" style="263" customWidth="1"/>
    <col min="15649" max="15649" width="12.33203125" style="263" customWidth="1"/>
    <col min="15650" max="15650" width="1.44140625" style="263" customWidth="1"/>
    <col min="15651" max="15651" width="10.77734375" style="263" customWidth="1"/>
    <col min="15652" max="15652" width="1.44140625" style="263" customWidth="1"/>
    <col min="15653" max="15653" width="8" style="263" customWidth="1"/>
    <col min="15654" max="15654" width="1.44140625" style="263" customWidth="1"/>
    <col min="15655" max="15655" width="17.77734375" style="263" customWidth="1"/>
    <col min="15656" max="15656" width="1.44140625" style="263" customWidth="1"/>
    <col min="15657" max="15657" width="17.77734375" style="263" customWidth="1"/>
    <col min="15658" max="15658" width="1.44140625" style="263" customWidth="1"/>
    <col min="15659" max="15867" width="8" style="263"/>
    <col min="15868" max="15868" width="1.44140625" style="263" customWidth="1"/>
    <col min="15869" max="15869" width="4.5546875" style="263" customWidth="1"/>
    <col min="15870" max="15870" width="9.21875" style="263" customWidth="1"/>
    <col min="15871" max="15871" width="14.109375" style="263" bestFit="1" customWidth="1"/>
    <col min="15872" max="15873" width="12.33203125" style="263" customWidth="1"/>
    <col min="15874" max="15874" width="13" style="263" bestFit="1" customWidth="1"/>
    <col min="15875" max="15875" width="14" style="263" customWidth="1"/>
    <col min="15876" max="15876" width="14.109375" style="263" bestFit="1" customWidth="1"/>
    <col min="15877" max="15878" width="12.33203125" style="263" customWidth="1"/>
    <col min="15879" max="15879" width="14.5546875" style="263" customWidth="1"/>
    <col min="15880" max="15880" width="14.44140625" style="263" customWidth="1"/>
    <col min="15881" max="15881" width="13.77734375" style="263" customWidth="1"/>
    <col min="15882" max="15884" width="13.109375" style="263" customWidth="1"/>
    <col min="15885" max="15885" width="14" style="263" customWidth="1"/>
    <col min="15886" max="15891" width="13.109375" style="263" customWidth="1"/>
    <col min="15892" max="15892" width="12.88671875" style="263" customWidth="1"/>
    <col min="15893" max="15893" width="10.5546875" style="263" customWidth="1"/>
    <col min="15894" max="15894" width="11.77734375" style="263" customWidth="1"/>
    <col min="15895" max="15895" width="13" style="263" bestFit="1" customWidth="1"/>
    <col min="15896" max="15896" width="11.77734375" style="263" customWidth="1"/>
    <col min="15897" max="15897" width="12.88671875" style="263" customWidth="1"/>
    <col min="15898" max="15898" width="13.109375" style="263" customWidth="1"/>
    <col min="15899" max="15899" width="11.33203125" style="263" customWidth="1"/>
    <col min="15900" max="15900" width="14.21875" style="263" customWidth="1"/>
    <col min="15901" max="15901" width="12.21875" style="263" customWidth="1"/>
    <col min="15902" max="15902" width="0" style="263" hidden="1" customWidth="1"/>
    <col min="15903" max="15903" width="11.88671875" style="263" customWidth="1"/>
    <col min="15904" max="15904" width="8.88671875" style="263" customWidth="1"/>
    <col min="15905" max="15905" width="12.33203125" style="263" customWidth="1"/>
    <col min="15906" max="15906" width="1.44140625" style="263" customWidth="1"/>
    <col min="15907" max="15907" width="10.77734375" style="263" customWidth="1"/>
    <col min="15908" max="15908" width="1.44140625" style="263" customWidth="1"/>
    <col min="15909" max="15909" width="8" style="263" customWidth="1"/>
    <col min="15910" max="15910" width="1.44140625" style="263" customWidth="1"/>
    <col min="15911" max="15911" width="17.77734375" style="263" customWidth="1"/>
    <col min="15912" max="15912" width="1.44140625" style="263" customWidth="1"/>
    <col min="15913" max="15913" width="17.77734375" style="263" customWidth="1"/>
    <col min="15914" max="15914" width="1.44140625" style="263" customWidth="1"/>
    <col min="15915" max="16123" width="8" style="263"/>
    <col min="16124" max="16124" width="1.44140625" style="263" customWidth="1"/>
    <col min="16125" max="16125" width="4.5546875" style="263" customWidth="1"/>
    <col min="16126" max="16126" width="9.21875" style="263" customWidth="1"/>
    <col min="16127" max="16127" width="14.109375" style="263" bestFit="1" customWidth="1"/>
    <col min="16128" max="16129" width="12.33203125" style="263" customWidth="1"/>
    <col min="16130" max="16130" width="13" style="263" bestFit="1" customWidth="1"/>
    <col min="16131" max="16131" width="14" style="263" customWidth="1"/>
    <col min="16132" max="16132" width="14.109375" style="263" bestFit="1" customWidth="1"/>
    <col min="16133" max="16134" width="12.33203125" style="263" customWidth="1"/>
    <col min="16135" max="16135" width="14.5546875" style="263" customWidth="1"/>
    <col min="16136" max="16136" width="14.44140625" style="263" customWidth="1"/>
    <col min="16137" max="16137" width="13.77734375" style="263" customWidth="1"/>
    <col min="16138" max="16140" width="13.109375" style="263" customWidth="1"/>
    <col min="16141" max="16141" width="14" style="263" customWidth="1"/>
    <col min="16142" max="16147" width="13.109375" style="263" customWidth="1"/>
    <col min="16148" max="16148" width="12.88671875" style="263" customWidth="1"/>
    <col min="16149" max="16149" width="10.5546875" style="263" customWidth="1"/>
    <col min="16150" max="16150" width="11.77734375" style="263" customWidth="1"/>
    <col min="16151" max="16151" width="13" style="263" bestFit="1" customWidth="1"/>
    <col min="16152" max="16152" width="11.77734375" style="263" customWidth="1"/>
    <col min="16153" max="16153" width="12.88671875" style="263" customWidth="1"/>
    <col min="16154" max="16154" width="13.109375" style="263" customWidth="1"/>
    <col min="16155" max="16155" width="11.33203125" style="263" customWidth="1"/>
    <col min="16156" max="16156" width="14.21875" style="263" customWidth="1"/>
    <col min="16157" max="16157" width="12.21875" style="263" customWidth="1"/>
    <col min="16158" max="16158" width="0" style="263" hidden="1" customWidth="1"/>
    <col min="16159" max="16159" width="11.88671875" style="263" customWidth="1"/>
    <col min="16160" max="16160" width="8.88671875" style="263" customWidth="1"/>
    <col min="16161" max="16161" width="12.33203125" style="263" customWidth="1"/>
    <col min="16162" max="16162" width="1.44140625" style="263" customWidth="1"/>
    <col min="16163" max="16163" width="10.77734375" style="263" customWidth="1"/>
    <col min="16164" max="16164" width="1.44140625" style="263" customWidth="1"/>
    <col min="16165" max="16165" width="8" style="263" customWidth="1"/>
    <col min="16166" max="16166" width="1.44140625" style="263" customWidth="1"/>
    <col min="16167" max="16167" width="17.77734375" style="263" customWidth="1"/>
    <col min="16168" max="16168" width="1.44140625" style="263" customWidth="1"/>
    <col min="16169" max="16169" width="17.77734375" style="263" customWidth="1"/>
    <col min="16170" max="16170" width="1.44140625" style="263" customWidth="1"/>
    <col min="16171" max="16175" width="8" style="263"/>
    <col min="16176" max="16384" width="8.88671875" style="263"/>
  </cols>
  <sheetData>
    <row r="2" spans="1:35" ht="18.75"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5"/>
      <c r="Q2" s="265"/>
      <c r="R2" s="264"/>
      <c r="S2" s="264"/>
      <c r="T2" s="264"/>
      <c r="U2" s="264"/>
      <c r="V2" s="264"/>
      <c r="W2" s="264"/>
      <c r="X2" s="265"/>
      <c r="Y2" s="265"/>
      <c r="Z2" s="264"/>
      <c r="AA2" s="266"/>
      <c r="AB2" s="266"/>
    </row>
    <row r="3" spans="1:35" ht="18.75">
      <c r="C3" s="264"/>
      <c r="D3" s="264"/>
      <c r="E3" s="264"/>
      <c r="F3" s="264"/>
      <c r="G3" s="264"/>
      <c r="H3" s="264"/>
      <c r="I3" s="264"/>
      <c r="J3" s="264"/>
      <c r="K3" s="264"/>
      <c r="L3" s="264" t="s">
        <v>221</v>
      </c>
      <c r="M3" s="264"/>
      <c r="N3" s="264"/>
      <c r="O3" s="264"/>
      <c r="P3" s="265"/>
      <c r="Q3" s="265"/>
      <c r="R3" s="264"/>
      <c r="S3" s="264"/>
      <c r="T3" s="264"/>
      <c r="U3" s="264"/>
      <c r="V3" s="264"/>
      <c r="W3" s="264"/>
      <c r="X3" s="265"/>
      <c r="Y3" s="265"/>
      <c r="Z3" s="264"/>
      <c r="AA3" s="266"/>
      <c r="AB3" s="266"/>
    </row>
    <row r="4" spans="1:35" ht="15.75">
      <c r="I4" s="266"/>
      <c r="J4" s="266"/>
      <c r="K4" s="266"/>
      <c r="L4" s="266" t="s">
        <v>223</v>
      </c>
      <c r="AB4" s="266"/>
    </row>
    <row r="5" spans="1:35" ht="18.75" thickBot="1">
      <c r="A5" s="263" t="s">
        <v>1</v>
      </c>
      <c r="I5" s="266"/>
      <c r="J5" s="266"/>
      <c r="L5" s="266"/>
      <c r="AC5" s="269"/>
      <c r="AF5" s="263"/>
    </row>
    <row r="6" spans="1:35">
      <c r="D6" s="467" t="s">
        <v>224</v>
      </c>
      <c r="E6" s="467"/>
      <c r="F6" s="467"/>
      <c r="G6" s="467"/>
      <c r="H6" s="467" t="s">
        <v>225</v>
      </c>
      <c r="I6" s="467"/>
      <c r="J6" s="467"/>
      <c r="K6" s="467"/>
      <c r="L6" s="467" t="s">
        <v>226</v>
      </c>
      <c r="M6" s="467"/>
      <c r="N6" s="467"/>
      <c r="O6" s="467"/>
      <c r="P6" s="467" t="s">
        <v>227</v>
      </c>
      <c r="Q6" s="467"/>
      <c r="R6" s="467"/>
      <c r="S6" s="467"/>
      <c r="T6" s="467"/>
      <c r="U6" s="467" t="s">
        <v>228</v>
      </c>
      <c r="V6" s="467"/>
      <c r="W6" s="467"/>
      <c r="X6" s="467" t="s">
        <v>229</v>
      </c>
      <c r="Y6" s="467"/>
      <c r="Z6" s="467"/>
      <c r="AA6" s="467"/>
      <c r="AF6" s="263"/>
    </row>
    <row r="7" spans="1:35">
      <c r="D7" s="270"/>
      <c r="G7" s="271"/>
      <c r="H7" s="270"/>
      <c r="K7" s="271"/>
      <c r="L7" s="270"/>
      <c r="O7" s="271"/>
      <c r="P7" s="272"/>
      <c r="T7" s="271"/>
      <c r="U7" s="270"/>
      <c r="W7" s="271"/>
      <c r="X7" s="466"/>
      <c r="Y7" s="466"/>
      <c r="Z7" s="466"/>
      <c r="AA7" s="466"/>
      <c r="AF7" s="263"/>
    </row>
    <row r="8" spans="1:35" ht="15.75">
      <c r="C8" s="66" t="s">
        <v>75</v>
      </c>
      <c r="D8" s="274">
        <v>2011</v>
      </c>
      <c r="E8" s="275"/>
      <c r="F8" s="275"/>
      <c r="G8" s="276" t="s">
        <v>72</v>
      </c>
      <c r="H8" s="274">
        <v>2011</v>
      </c>
      <c r="I8" s="275"/>
      <c r="J8" s="275"/>
      <c r="K8" s="276" t="s">
        <v>72</v>
      </c>
      <c r="L8" s="274">
        <v>2011</v>
      </c>
      <c r="M8" s="275"/>
      <c r="N8" s="275"/>
      <c r="O8" s="276" t="s">
        <v>72</v>
      </c>
      <c r="P8" s="274">
        <v>2011</v>
      </c>
      <c r="Q8" s="274">
        <v>2011</v>
      </c>
      <c r="T8" s="273" t="s">
        <v>72</v>
      </c>
      <c r="U8" s="274">
        <v>2011</v>
      </c>
      <c r="V8" s="275"/>
      <c r="W8" s="276" t="s">
        <v>72</v>
      </c>
      <c r="X8" s="279"/>
      <c r="Y8" s="273">
        <v>2011</v>
      </c>
      <c r="Z8" s="273" t="s">
        <v>72</v>
      </c>
      <c r="AA8" s="276">
        <v>2011</v>
      </c>
      <c r="AB8" s="273"/>
      <c r="AC8" s="275"/>
      <c r="AD8" s="275"/>
      <c r="AE8" s="275"/>
      <c r="AF8" s="275"/>
    </row>
    <row r="9" spans="1:35" ht="15.75">
      <c r="C9" s="67" t="s">
        <v>46</v>
      </c>
      <c r="D9" s="274" t="s">
        <v>70</v>
      </c>
      <c r="E9" s="280"/>
      <c r="F9" s="280"/>
      <c r="G9" s="276" t="s">
        <v>288</v>
      </c>
      <c r="H9" s="274" t="s">
        <v>68</v>
      </c>
      <c r="I9" s="280"/>
      <c r="J9" s="280"/>
      <c r="K9" s="276" t="s">
        <v>288</v>
      </c>
      <c r="L9" s="274" t="s">
        <v>69</v>
      </c>
      <c r="M9" s="280"/>
      <c r="N9" s="280"/>
      <c r="O9" s="276" t="s">
        <v>288</v>
      </c>
      <c r="P9" s="281" t="s">
        <v>230</v>
      </c>
      <c r="Q9" s="282" t="s">
        <v>231</v>
      </c>
      <c r="T9" s="273" t="s">
        <v>218</v>
      </c>
      <c r="U9" s="274" t="s">
        <v>71</v>
      </c>
      <c r="V9" s="280"/>
      <c r="W9" s="276" t="s">
        <v>288</v>
      </c>
      <c r="X9" s="279"/>
      <c r="Y9" s="273" t="s">
        <v>59</v>
      </c>
      <c r="Z9" s="273" t="s">
        <v>308</v>
      </c>
      <c r="AA9" s="276" t="s">
        <v>48</v>
      </c>
      <c r="AB9" s="273" t="s">
        <v>288</v>
      </c>
      <c r="AC9" s="275" t="s">
        <v>219</v>
      </c>
      <c r="AD9" s="275"/>
      <c r="AE9" s="275"/>
      <c r="AF9" s="275"/>
    </row>
    <row r="10" spans="1:35" ht="15.75">
      <c r="B10" s="263" t="s">
        <v>64</v>
      </c>
      <c r="C10" s="67" t="s">
        <v>76</v>
      </c>
      <c r="D10" s="274" t="s">
        <v>67</v>
      </c>
      <c r="E10" s="275"/>
      <c r="F10" s="275" t="s">
        <v>232</v>
      </c>
      <c r="G10" s="276" t="s">
        <v>79</v>
      </c>
      <c r="H10" s="274" t="s">
        <v>40</v>
      </c>
      <c r="I10" s="275"/>
      <c r="J10" s="275" t="s">
        <v>232</v>
      </c>
      <c r="K10" s="276" t="s">
        <v>88</v>
      </c>
      <c r="L10" s="274" t="s">
        <v>50</v>
      </c>
      <c r="M10" s="275"/>
      <c r="N10" s="275" t="s">
        <v>232</v>
      </c>
      <c r="O10" s="276" t="s">
        <v>80</v>
      </c>
      <c r="P10" s="277" t="s">
        <v>233</v>
      </c>
      <c r="Q10" s="278" t="s">
        <v>234</v>
      </c>
      <c r="R10" s="278" t="s">
        <v>235</v>
      </c>
      <c r="S10" s="278" t="s">
        <v>236</v>
      </c>
      <c r="T10" s="273" t="s">
        <v>237</v>
      </c>
      <c r="U10" s="274" t="s">
        <v>55</v>
      </c>
      <c r="V10" s="275"/>
      <c r="W10" s="276" t="s">
        <v>82</v>
      </c>
      <c r="X10" s="279"/>
      <c r="Y10" s="273" t="s">
        <v>25</v>
      </c>
      <c r="Z10" s="273" t="s">
        <v>25</v>
      </c>
      <c r="AA10" s="276" t="s">
        <v>25</v>
      </c>
      <c r="AB10" s="273" t="s">
        <v>41</v>
      </c>
      <c r="AC10" s="275" t="s">
        <v>41</v>
      </c>
      <c r="AD10" s="275"/>
      <c r="AE10" s="275"/>
      <c r="AF10" s="283" t="s">
        <v>73</v>
      </c>
    </row>
    <row r="11" spans="1:35" ht="15.75">
      <c r="C11" s="435" t="s">
        <v>306</v>
      </c>
      <c r="D11" s="274" t="s">
        <v>65</v>
      </c>
      <c r="E11" s="275" t="s">
        <v>307</v>
      </c>
      <c r="F11" s="275" t="s">
        <v>238</v>
      </c>
      <c r="G11" s="276" t="s">
        <v>67</v>
      </c>
      <c r="H11" s="274" t="s">
        <v>53</v>
      </c>
      <c r="I11" s="275" t="s">
        <v>307</v>
      </c>
      <c r="J11" s="275" t="s">
        <v>238</v>
      </c>
      <c r="K11" s="276" t="s">
        <v>40</v>
      </c>
      <c r="L11" s="274" t="s">
        <v>53</v>
      </c>
      <c r="M11" s="275" t="s">
        <v>307</v>
      </c>
      <c r="N11" s="275" t="s">
        <v>238</v>
      </c>
      <c r="O11" s="276" t="s">
        <v>81</v>
      </c>
      <c r="P11" s="277" t="s">
        <v>235</v>
      </c>
      <c r="Q11" s="278" t="s">
        <v>236</v>
      </c>
      <c r="R11" s="275" t="s">
        <v>307</v>
      </c>
      <c r="S11" s="275" t="s">
        <v>307</v>
      </c>
      <c r="T11" s="273" t="s">
        <v>239</v>
      </c>
      <c r="U11" s="274" t="s">
        <v>38</v>
      </c>
      <c r="V11" s="275" t="s">
        <v>307</v>
      </c>
      <c r="W11" s="276" t="s">
        <v>83</v>
      </c>
      <c r="X11" s="275" t="s">
        <v>307</v>
      </c>
      <c r="Y11" s="273" t="s">
        <v>27</v>
      </c>
      <c r="Z11" s="273" t="s">
        <v>27</v>
      </c>
      <c r="AA11" s="276" t="s">
        <v>27</v>
      </c>
      <c r="AB11" s="273" t="s">
        <v>310</v>
      </c>
      <c r="AC11" s="275" t="s">
        <v>30</v>
      </c>
      <c r="AD11" s="275"/>
      <c r="AE11" s="275" t="s">
        <v>43</v>
      </c>
      <c r="AF11" s="283" t="s">
        <v>74</v>
      </c>
    </row>
    <row r="12" spans="1:35" ht="16.5" thickBot="1">
      <c r="C12" s="67" t="s">
        <v>77</v>
      </c>
      <c r="D12" s="284"/>
      <c r="E12" s="286" t="s">
        <v>240</v>
      </c>
      <c r="F12" s="286" t="s">
        <v>241</v>
      </c>
      <c r="G12" s="287" t="s">
        <v>65</v>
      </c>
      <c r="H12" s="284"/>
      <c r="I12" s="286" t="s">
        <v>240</v>
      </c>
      <c r="J12" s="286" t="s">
        <v>241</v>
      </c>
      <c r="K12" s="287" t="s">
        <v>53</v>
      </c>
      <c r="L12" s="284"/>
      <c r="M12" s="286" t="s">
        <v>240</v>
      </c>
      <c r="N12" s="286" t="s">
        <v>241</v>
      </c>
      <c r="O12" s="287" t="s">
        <v>53</v>
      </c>
      <c r="P12" s="288"/>
      <c r="Q12" s="289"/>
      <c r="R12" s="286" t="s">
        <v>240</v>
      </c>
      <c r="S12" s="286" t="s">
        <v>240</v>
      </c>
      <c r="T12" s="290" t="s">
        <v>242</v>
      </c>
      <c r="U12" s="284"/>
      <c r="V12" s="286" t="s">
        <v>240</v>
      </c>
      <c r="W12" s="287" t="s">
        <v>38</v>
      </c>
      <c r="X12" s="291" t="s">
        <v>240</v>
      </c>
      <c r="Y12" s="285" t="s">
        <v>294</v>
      </c>
      <c r="Z12" s="43" t="s">
        <v>294</v>
      </c>
      <c r="AA12" s="404" t="s">
        <v>294</v>
      </c>
      <c r="AB12" s="273" t="s">
        <v>311</v>
      </c>
      <c r="AC12" s="275" t="s">
        <v>312</v>
      </c>
      <c r="AD12" s="275"/>
      <c r="AE12" s="275"/>
      <c r="AF12" s="275"/>
    </row>
    <row r="13" spans="1:35" ht="16.5" thickBot="1">
      <c r="A13" s="292"/>
      <c r="B13" s="293" t="s">
        <v>8</v>
      </c>
      <c r="C13" s="54">
        <v>3.0051808715551111E-2</v>
      </c>
      <c r="D13" s="294">
        <v>757920</v>
      </c>
      <c r="E13" s="395">
        <v>63399.59</v>
      </c>
      <c r="F13" s="296"/>
      <c r="G13" s="297">
        <f>SUM(D13:F13)</f>
        <v>821319.59</v>
      </c>
      <c r="H13" s="402">
        <v>866107</v>
      </c>
      <c r="I13" s="402">
        <v>43918.26</v>
      </c>
      <c r="J13" s="319"/>
      <c r="K13" s="298">
        <f>SUM(H13:J13)</f>
        <v>910025.26</v>
      </c>
      <c r="L13" s="299">
        <v>433811</v>
      </c>
      <c r="M13" s="301">
        <v>11787.14</v>
      </c>
      <c r="N13" s="300"/>
      <c r="O13" s="298">
        <f>SUM(L13:N13)</f>
        <v>445598.14</v>
      </c>
      <c r="P13" s="302">
        <v>65647</v>
      </c>
      <c r="Q13" s="305">
        <v>23954</v>
      </c>
      <c r="R13" s="305"/>
      <c r="S13" s="303">
        <v>0.05</v>
      </c>
      <c r="T13" s="298">
        <f>SUM(P13:S13)</f>
        <v>89601.05</v>
      </c>
      <c r="U13" s="299">
        <v>278621</v>
      </c>
      <c r="V13" s="301">
        <v>45821.45</v>
      </c>
      <c r="W13" s="304">
        <f>SUM(U13:V13)</f>
        <v>324442.45</v>
      </c>
      <c r="X13" s="305">
        <v>20909.82</v>
      </c>
      <c r="Y13" s="306">
        <v>360957</v>
      </c>
      <c r="Z13" s="298">
        <f>Y13+X13</f>
        <v>381866.82</v>
      </c>
      <c r="AA13" s="297">
        <v>15212</v>
      </c>
      <c r="AB13" s="307">
        <f>+G13+K13+O13+W13+Z13+AA13+T13</f>
        <v>2988065.31</v>
      </c>
      <c r="AC13" s="308">
        <v>3028801.15</v>
      </c>
      <c r="AD13" s="309"/>
      <c r="AE13" s="310">
        <f>AB13-AC13</f>
        <v>-40735.839999999851</v>
      </c>
      <c r="AF13" s="311">
        <f>SUM(AE13/AC13)</f>
        <v>-1.3449493044467397E-2</v>
      </c>
      <c r="AG13" s="312"/>
      <c r="AI13" s="313"/>
    </row>
    <row r="14" spans="1:35" ht="15.75">
      <c r="A14" s="314"/>
      <c r="B14" s="315"/>
      <c r="C14" s="60"/>
      <c r="D14" s="316"/>
      <c r="E14" s="317"/>
      <c r="F14" s="317"/>
      <c r="G14" s="318"/>
      <c r="H14" s="295"/>
      <c r="I14" s="295"/>
      <c r="J14" s="319"/>
      <c r="K14" s="318"/>
      <c r="L14" s="316"/>
      <c r="M14" s="317"/>
      <c r="N14" s="295"/>
      <c r="O14" s="304"/>
      <c r="P14" s="320"/>
      <c r="Q14" s="320"/>
      <c r="R14" s="320"/>
      <c r="S14" s="321"/>
      <c r="T14" s="304"/>
      <c r="U14" s="316"/>
      <c r="V14" s="323"/>
      <c r="W14" s="324"/>
      <c r="X14" s="321"/>
      <c r="Y14" s="325"/>
      <c r="Z14" s="304"/>
      <c r="AA14" s="318"/>
      <c r="AB14" s="371"/>
      <c r="AC14" s="326"/>
      <c r="AD14" s="327"/>
      <c r="AE14" s="328"/>
      <c r="AF14" s="329"/>
      <c r="AG14" s="312"/>
      <c r="AI14" s="313"/>
    </row>
    <row r="15" spans="1:35" ht="16.5" thickBot="1">
      <c r="A15" s="330"/>
      <c r="B15" s="331" t="s">
        <v>11</v>
      </c>
      <c r="C15" s="63">
        <v>3.4320009913023461E-2</v>
      </c>
      <c r="D15" s="332">
        <v>875439</v>
      </c>
      <c r="E15" s="334">
        <v>160.28</v>
      </c>
      <c r="F15" s="334"/>
      <c r="G15" s="335">
        <f>SUM(D15:F15)</f>
        <v>875599.28</v>
      </c>
      <c r="H15" s="333">
        <v>1006173</v>
      </c>
      <c r="I15" s="333"/>
      <c r="J15" s="336"/>
      <c r="K15" s="335">
        <f>SUM(H15:J15)</f>
        <v>1006173</v>
      </c>
      <c r="L15" s="332">
        <v>503174</v>
      </c>
      <c r="M15" s="334"/>
      <c r="N15" s="333"/>
      <c r="O15" s="337">
        <f>SUM(L15:N15)</f>
        <v>503174</v>
      </c>
      <c r="P15" s="338">
        <v>57369</v>
      </c>
      <c r="Q15" s="338">
        <v>20934</v>
      </c>
      <c r="R15" s="338"/>
      <c r="S15" s="339">
        <v>18832.71</v>
      </c>
      <c r="T15" s="337">
        <f>SUM(P15:S15)</f>
        <v>97135.709999999992</v>
      </c>
      <c r="U15" s="332">
        <v>321427</v>
      </c>
      <c r="V15" s="341">
        <v>38233.26</v>
      </c>
      <c r="W15" s="342">
        <f>SUM(U15:V15)</f>
        <v>359660.26</v>
      </c>
      <c r="X15" s="339">
        <v>26065.919999999998</v>
      </c>
      <c r="Y15" s="343">
        <v>488471</v>
      </c>
      <c r="Z15" s="337">
        <f>Y15+X15</f>
        <v>514536.92</v>
      </c>
      <c r="AA15" s="335">
        <v>20586</v>
      </c>
      <c r="AB15" s="386">
        <f>+G15+K15+O15+W15+Z15+AA15+T15</f>
        <v>3376865.17</v>
      </c>
      <c r="AC15" s="344">
        <v>3416092.58</v>
      </c>
      <c r="AD15" s="345"/>
      <c r="AE15" s="346">
        <f>AB15-AC15</f>
        <v>-39227.410000000149</v>
      </c>
      <c r="AF15" s="347">
        <f>SUM(AE15/AC15)</f>
        <v>-1.1483122626612229E-2</v>
      </c>
      <c r="AG15" s="312"/>
      <c r="AI15" s="313"/>
    </row>
    <row r="16" spans="1:35" ht="15.75">
      <c r="A16" s="270"/>
      <c r="B16" s="271"/>
      <c r="C16" s="8"/>
      <c r="D16" s="348"/>
      <c r="E16" s="350"/>
      <c r="F16" s="350"/>
      <c r="G16" s="351"/>
      <c r="H16" s="352"/>
      <c r="I16" s="349"/>
      <c r="J16" s="348"/>
      <c r="K16" s="354"/>
      <c r="L16" s="349"/>
      <c r="M16" s="350"/>
      <c r="N16" s="349"/>
      <c r="O16" s="355"/>
      <c r="P16" s="356"/>
      <c r="Q16" s="356"/>
      <c r="R16" s="356"/>
      <c r="S16" s="356"/>
      <c r="T16" s="304"/>
      <c r="U16" s="358"/>
      <c r="V16" s="359"/>
      <c r="W16" s="324"/>
      <c r="X16" s="356"/>
      <c r="Y16" s="360"/>
      <c r="Z16" s="304"/>
      <c r="AA16" s="318"/>
      <c r="AB16" s="371"/>
      <c r="AC16" s="362"/>
      <c r="AD16" s="312"/>
      <c r="AE16" s="363"/>
      <c r="AF16" s="362"/>
      <c r="AG16" s="312"/>
      <c r="AI16" s="313"/>
    </row>
    <row r="17" spans="1:35" ht="16.5" thickBot="1">
      <c r="A17" s="270"/>
      <c r="B17" s="271" t="s">
        <v>13</v>
      </c>
      <c r="C17" s="51">
        <v>9.5411204864538871E-2</v>
      </c>
      <c r="D17" s="348">
        <v>2309130</v>
      </c>
      <c r="E17" s="396">
        <v>78852.800000000003</v>
      </c>
      <c r="F17" s="301"/>
      <c r="G17" s="357">
        <f>SUM(D17:F17)</f>
        <v>2387982.7999999998</v>
      </c>
      <c r="H17" s="352">
        <v>2655795</v>
      </c>
      <c r="I17" s="333">
        <v>21367.85</v>
      </c>
      <c r="J17" s="358"/>
      <c r="K17" s="355">
        <f>SUM(H17:J17)</f>
        <v>2677162.85</v>
      </c>
      <c r="L17" s="349">
        <v>1327878</v>
      </c>
      <c r="M17" s="301">
        <v>7901.42</v>
      </c>
      <c r="N17" s="349"/>
      <c r="O17" s="355">
        <f>SUM(L17:N17)</f>
        <v>1335779.42</v>
      </c>
      <c r="P17" s="356">
        <v>180806</v>
      </c>
      <c r="Q17" s="356">
        <v>65975</v>
      </c>
      <c r="R17" s="356">
        <v>32.42</v>
      </c>
      <c r="S17" s="356">
        <v>2972.95</v>
      </c>
      <c r="T17" s="337">
        <f>SUM(P17:S17)</f>
        <v>249786.37000000002</v>
      </c>
      <c r="U17" s="358">
        <v>847698</v>
      </c>
      <c r="V17" s="364">
        <v>16692.27</v>
      </c>
      <c r="W17" s="365">
        <f>SUM(U17:V17)</f>
        <v>864390.27</v>
      </c>
      <c r="X17" s="356">
        <v>11616.89</v>
      </c>
      <c r="Y17" s="366">
        <v>923071</v>
      </c>
      <c r="Z17" s="337">
        <f>Y17+X17</f>
        <v>934687.89</v>
      </c>
      <c r="AA17" s="335">
        <v>38901</v>
      </c>
      <c r="AB17" s="386">
        <f>+G17+K17+O17+W17+Z17+AA17+T17</f>
        <v>8488690.5999999996</v>
      </c>
      <c r="AC17" s="344">
        <v>8617629.6600000001</v>
      </c>
      <c r="AD17" s="312"/>
      <c r="AE17" s="363">
        <f>AB17-AC17</f>
        <v>-128939.06000000052</v>
      </c>
      <c r="AF17" s="367">
        <f>SUM(AE17/AC17)</f>
        <v>-1.496224194902343E-2</v>
      </c>
      <c r="AG17" s="312"/>
      <c r="AI17" s="313"/>
    </row>
    <row r="18" spans="1:35" ht="15.75">
      <c r="A18" s="314"/>
      <c r="B18" s="315"/>
      <c r="C18" s="60"/>
      <c r="D18" s="316"/>
      <c r="E18" s="317"/>
      <c r="F18" s="317"/>
      <c r="G18" s="368"/>
      <c r="H18" s="322"/>
      <c r="I18" s="322"/>
      <c r="J18" s="322"/>
      <c r="K18" s="369"/>
      <c r="L18" s="295"/>
      <c r="M18" s="317"/>
      <c r="N18" s="295"/>
      <c r="O18" s="304"/>
      <c r="P18" s="370"/>
      <c r="Q18" s="370"/>
      <c r="R18" s="370"/>
      <c r="S18" s="370"/>
      <c r="T18" s="304"/>
      <c r="U18" s="319"/>
      <c r="V18" s="323"/>
      <c r="W18" s="324"/>
      <c r="X18" s="370"/>
      <c r="Y18" s="321"/>
      <c r="Z18" s="304"/>
      <c r="AA18" s="318"/>
      <c r="AB18" s="371"/>
      <c r="AC18" s="329"/>
      <c r="AD18" s="327"/>
      <c r="AE18" s="328"/>
      <c r="AF18" s="329"/>
      <c r="AG18" s="312"/>
      <c r="AI18" s="313"/>
    </row>
    <row r="19" spans="1:35" ht="16.5" thickBot="1">
      <c r="A19" s="330"/>
      <c r="B19" s="331" t="s">
        <v>14</v>
      </c>
      <c r="C19" s="63">
        <v>8.7724564136430622E-2</v>
      </c>
      <c r="D19" s="332">
        <v>2055448</v>
      </c>
      <c r="E19" s="403">
        <v>11907.09</v>
      </c>
      <c r="F19" s="334"/>
      <c r="G19" s="335">
        <f>SUM(D19:F19)</f>
        <v>2067355.09</v>
      </c>
      <c r="H19" s="340">
        <v>2373630</v>
      </c>
      <c r="I19" s="340"/>
      <c r="J19" s="333"/>
      <c r="K19" s="337">
        <f>SUM(H19:J19)</f>
        <v>2373630</v>
      </c>
      <c r="L19" s="333">
        <v>1185487</v>
      </c>
      <c r="M19" s="372"/>
      <c r="N19" s="333"/>
      <c r="O19" s="337">
        <f>SUM(L19:N19)</f>
        <v>1185487</v>
      </c>
      <c r="P19" s="373">
        <v>88482</v>
      </c>
      <c r="Q19" s="373">
        <v>32287</v>
      </c>
      <c r="R19" s="373">
        <v>731</v>
      </c>
      <c r="S19" s="373"/>
      <c r="T19" s="337">
        <f>SUM(P19:S19)</f>
        <v>121500</v>
      </c>
      <c r="U19" s="336">
        <v>753910</v>
      </c>
      <c r="V19" s="341">
        <v>0.31</v>
      </c>
      <c r="W19" s="365">
        <f>SUM(U19:V19)</f>
        <v>753910.31</v>
      </c>
      <c r="X19" s="373">
        <v>22253.47</v>
      </c>
      <c r="Y19" s="343">
        <v>746295</v>
      </c>
      <c r="Z19" s="337">
        <f>Y19+X19</f>
        <v>768548.47</v>
      </c>
      <c r="AA19" s="335">
        <v>31451</v>
      </c>
      <c r="AB19" s="386">
        <f>+G19+K19+O19+W19+Z19+AA19+T19</f>
        <v>7301881.8700000001</v>
      </c>
      <c r="AC19" s="344">
        <v>7517406.9699999997</v>
      </c>
      <c r="AD19" s="345"/>
      <c r="AE19" s="346">
        <f>AB19-AC19</f>
        <v>-215525.09999999963</v>
      </c>
      <c r="AF19" s="347">
        <f>SUM(AE19/AC19)</f>
        <v>-2.8670138634252981E-2</v>
      </c>
      <c r="AG19" s="312"/>
      <c r="AI19" s="313"/>
    </row>
    <row r="20" spans="1:35" ht="15.75">
      <c r="A20" s="270"/>
      <c r="B20" s="271"/>
      <c r="C20" s="8"/>
      <c r="D20" s="348"/>
      <c r="E20" s="350"/>
      <c r="F20" s="350"/>
      <c r="G20" s="351"/>
      <c r="H20" s="352"/>
      <c r="I20" s="352"/>
      <c r="J20" s="295"/>
      <c r="K20" s="351"/>
      <c r="L20" s="349"/>
      <c r="M20" s="350"/>
      <c r="N20" s="349"/>
      <c r="O20" s="355"/>
      <c r="P20" s="356"/>
      <c r="Q20" s="356"/>
      <c r="R20" s="356"/>
      <c r="S20" s="356"/>
      <c r="T20" s="304"/>
      <c r="U20" s="358"/>
      <c r="V20" s="359"/>
      <c r="W20" s="324"/>
      <c r="X20" s="356"/>
      <c r="Y20" s="360"/>
      <c r="Z20" s="304"/>
      <c r="AA20" s="357"/>
      <c r="AB20" s="371"/>
      <c r="AC20" s="362"/>
      <c r="AD20" s="312"/>
      <c r="AE20" s="363"/>
      <c r="AF20" s="362"/>
      <c r="AG20" s="312"/>
      <c r="AI20" s="313"/>
    </row>
    <row r="21" spans="1:35" ht="16.5" thickBot="1">
      <c r="A21" s="270"/>
      <c r="B21" s="271" t="s">
        <v>15</v>
      </c>
      <c r="C21" s="51">
        <v>7.6039747312736702E-2</v>
      </c>
      <c r="D21" s="348">
        <v>1894472</v>
      </c>
      <c r="E21" s="397">
        <v>30950.68</v>
      </c>
      <c r="F21" s="301"/>
      <c r="G21" s="357">
        <f>SUM(D21:F21)</f>
        <v>1925422.68</v>
      </c>
      <c r="H21" s="352">
        <v>2160932</v>
      </c>
      <c r="I21" s="352"/>
      <c r="J21" s="333"/>
      <c r="K21" s="357">
        <f>SUM(H21:J21)</f>
        <v>2160932</v>
      </c>
      <c r="L21" s="349">
        <v>1082902</v>
      </c>
      <c r="M21" s="350"/>
      <c r="N21" s="349"/>
      <c r="O21" s="355">
        <f>SUM(L21:N21)</f>
        <v>1082902</v>
      </c>
      <c r="P21" s="356">
        <v>101450</v>
      </c>
      <c r="Q21" s="356">
        <v>37019</v>
      </c>
      <c r="R21" s="356"/>
      <c r="S21" s="356"/>
      <c r="T21" s="337">
        <f>SUM(P21:S21)</f>
        <v>138469</v>
      </c>
      <c r="U21" s="358">
        <v>696706</v>
      </c>
      <c r="V21" s="353">
        <v>7097.74</v>
      </c>
      <c r="W21" s="365">
        <f>SUM(U21:V21)</f>
        <v>703803.74</v>
      </c>
      <c r="X21" s="356">
        <v>98014.78</v>
      </c>
      <c r="Y21" s="366">
        <v>677231</v>
      </c>
      <c r="Z21" s="337">
        <f>Y21+X21</f>
        <v>775245.78</v>
      </c>
      <c r="AA21" s="335">
        <v>28540</v>
      </c>
      <c r="AB21" s="386">
        <f>+G21+K21+O21+W21+Z21+AA21+T21</f>
        <v>6815315.2000000002</v>
      </c>
      <c r="AC21" s="344">
        <v>6955169.6100000003</v>
      </c>
      <c r="AD21" s="312"/>
      <c r="AE21" s="363">
        <f>AB21-AC21</f>
        <v>-139854.41000000015</v>
      </c>
      <c r="AF21" s="367">
        <f>SUM(AE21/AC21)</f>
        <v>-2.0107979796627869E-2</v>
      </c>
      <c r="AG21" s="312"/>
      <c r="AI21" s="313"/>
    </row>
    <row r="22" spans="1:35" ht="15.75">
      <c r="A22" s="314"/>
      <c r="B22" s="315"/>
      <c r="C22" s="60"/>
      <c r="D22" s="316"/>
      <c r="E22" s="317"/>
      <c r="F22" s="317"/>
      <c r="G22" s="368"/>
      <c r="H22" s="322"/>
      <c r="I22" s="322"/>
      <c r="J22" s="352"/>
      <c r="K22" s="369"/>
      <c r="L22" s="295"/>
      <c r="M22" s="317"/>
      <c r="N22" s="295"/>
      <c r="O22" s="304"/>
      <c r="P22" s="370"/>
      <c r="Q22" s="370"/>
      <c r="R22" s="370"/>
      <c r="S22" s="370"/>
      <c r="T22" s="304"/>
      <c r="U22" s="319"/>
      <c r="V22" s="323"/>
      <c r="W22" s="324"/>
      <c r="X22" s="370"/>
      <c r="Y22" s="321"/>
      <c r="Z22" s="304"/>
      <c r="AA22" s="318"/>
      <c r="AB22" s="371"/>
      <c r="AC22" s="329"/>
      <c r="AD22" s="327"/>
      <c r="AE22" s="328"/>
      <c r="AF22" s="329"/>
      <c r="AG22" s="312"/>
      <c r="AI22" s="313"/>
    </row>
    <row r="23" spans="1:35" ht="16.5" thickBot="1">
      <c r="A23" s="330"/>
      <c r="B23" s="331" t="s">
        <v>17</v>
      </c>
      <c r="C23" s="63">
        <v>0.10625694123878218</v>
      </c>
      <c r="D23" s="332">
        <v>2638998</v>
      </c>
      <c r="E23" s="334">
        <v>203530.71</v>
      </c>
      <c r="F23" s="334"/>
      <c r="G23" s="335">
        <f>SUM(D23:F23)</f>
        <v>2842528.71</v>
      </c>
      <c r="H23" s="340">
        <v>3017845</v>
      </c>
      <c r="I23" s="340">
        <v>84544.3</v>
      </c>
      <c r="J23" s="333"/>
      <c r="K23" s="337">
        <f>SUM(H23:J23)</f>
        <v>3102389.3</v>
      </c>
      <c r="L23" s="333">
        <v>1511268</v>
      </c>
      <c r="M23" s="372"/>
      <c r="N23" s="333"/>
      <c r="O23" s="337">
        <f>SUM(L23:N23)</f>
        <v>1511268</v>
      </c>
      <c r="P23" s="373">
        <v>97504</v>
      </c>
      <c r="Q23" s="373">
        <v>35579</v>
      </c>
      <c r="R23" s="373">
        <v>5631.86</v>
      </c>
      <c r="S23" s="373">
        <v>2966.06</v>
      </c>
      <c r="T23" s="337">
        <f>SUM(P23:S23)</f>
        <v>141680.91999999998</v>
      </c>
      <c r="U23" s="336">
        <v>969985</v>
      </c>
      <c r="V23" s="341">
        <v>10777.13</v>
      </c>
      <c r="W23" s="365">
        <f>SUM(U23:V23)</f>
        <v>980762.13</v>
      </c>
      <c r="X23" s="373">
        <v>120313.96</v>
      </c>
      <c r="Y23" s="343">
        <v>868562</v>
      </c>
      <c r="Z23" s="337">
        <f>Y23+X23</f>
        <v>988875.96</v>
      </c>
      <c r="AA23" s="335">
        <v>36604</v>
      </c>
      <c r="AB23" s="386">
        <f>+G23+K23+O23+W23+Z23+AA23+T23</f>
        <v>9604109.0200000014</v>
      </c>
      <c r="AC23" s="344">
        <v>9608778.3800000008</v>
      </c>
      <c r="AD23" s="345"/>
      <c r="AE23" s="346">
        <f>AB23-AC23</f>
        <v>-4669.359999999404</v>
      </c>
      <c r="AF23" s="347">
        <f>SUM(AE23/AC23)</f>
        <v>-4.8594730936019396E-4</v>
      </c>
      <c r="AG23" s="312"/>
      <c r="AI23" s="313"/>
    </row>
    <row r="24" spans="1:35" ht="15.75">
      <c r="A24" s="270"/>
      <c r="B24" s="271"/>
      <c r="C24" s="8"/>
      <c r="D24" s="348"/>
      <c r="E24" s="350"/>
      <c r="F24" s="350"/>
      <c r="G24" s="351"/>
      <c r="H24" s="352"/>
      <c r="I24" s="352"/>
      <c r="J24" s="352"/>
      <c r="K24" s="354"/>
      <c r="L24" s="349"/>
      <c r="M24" s="350"/>
      <c r="N24" s="349"/>
      <c r="O24" s="355"/>
      <c r="P24" s="356"/>
      <c r="Q24" s="356"/>
      <c r="R24" s="356"/>
      <c r="S24" s="356"/>
      <c r="T24" s="304"/>
      <c r="U24" s="358"/>
      <c r="V24" s="359"/>
      <c r="W24" s="324"/>
      <c r="X24" s="356"/>
      <c r="Y24" s="360"/>
      <c r="Z24" s="304"/>
      <c r="AA24" s="357"/>
      <c r="AB24" s="371"/>
      <c r="AC24" s="362"/>
      <c r="AD24" s="312"/>
      <c r="AE24" s="363"/>
      <c r="AF24" s="362"/>
      <c r="AG24" s="312"/>
      <c r="AI24" s="313"/>
    </row>
    <row r="25" spans="1:35" ht="16.5" thickBot="1">
      <c r="A25" s="270"/>
      <c r="B25" s="271" t="s">
        <v>21</v>
      </c>
      <c r="C25" s="51">
        <v>9.1951688429142475E-2</v>
      </c>
      <c r="D25" s="348">
        <v>1959251</v>
      </c>
      <c r="E25" s="398">
        <v>32558.66</v>
      </c>
      <c r="F25" s="301"/>
      <c r="G25" s="357">
        <f>SUM(D25:F25)</f>
        <v>1991809.66</v>
      </c>
      <c r="H25" s="352">
        <v>2296467</v>
      </c>
      <c r="I25" s="352">
        <v>29273.96</v>
      </c>
      <c r="J25" s="349"/>
      <c r="K25" s="355">
        <f>SUM(H25:J25)</f>
        <v>2325740.96</v>
      </c>
      <c r="L25" s="349">
        <v>1142334</v>
      </c>
      <c r="M25" s="350">
        <v>54.81</v>
      </c>
      <c r="N25" s="349"/>
      <c r="O25" s="355">
        <f>SUM(L25:N25)</f>
        <v>1142388.81</v>
      </c>
      <c r="P25" s="356">
        <v>134645</v>
      </c>
      <c r="Q25" s="356">
        <v>49131</v>
      </c>
      <c r="R25" s="356"/>
      <c r="S25" s="356">
        <v>25204.03</v>
      </c>
      <c r="T25" s="337">
        <f>SUM(P25:S25)</f>
        <v>208980.03</v>
      </c>
      <c r="U25" s="358">
        <v>716297</v>
      </c>
      <c r="V25" s="364">
        <v>8410.8700000000008</v>
      </c>
      <c r="W25" s="365">
        <f>SUM(U25:V25)</f>
        <v>724707.87</v>
      </c>
      <c r="X25" s="356">
        <v>162926.37</v>
      </c>
      <c r="Y25" s="366">
        <v>672701</v>
      </c>
      <c r="Z25" s="337">
        <f>Y25+X25</f>
        <v>835627.37</v>
      </c>
      <c r="AA25" s="335">
        <v>28349</v>
      </c>
      <c r="AB25" s="386">
        <f>+G25+K25+O25+W25+Z25+AA25+T25</f>
        <v>7257603.7000000002</v>
      </c>
      <c r="AC25" s="344">
        <v>7327271.7800000003</v>
      </c>
      <c r="AD25" s="312"/>
      <c r="AE25" s="363">
        <f>AB25-AC25</f>
        <v>-69668.080000000075</v>
      </c>
      <c r="AF25" s="367">
        <f>SUM(AE25/AC25)</f>
        <v>-9.5080518495521231E-3</v>
      </c>
      <c r="AG25" s="312"/>
      <c r="AI25" s="313"/>
    </row>
    <row r="26" spans="1:35" ht="15.75">
      <c r="A26" s="314"/>
      <c r="B26" s="315"/>
      <c r="C26" s="60"/>
      <c r="D26" s="316"/>
      <c r="E26" s="317"/>
      <c r="F26" s="317"/>
      <c r="G26" s="368"/>
      <c r="H26" s="322"/>
      <c r="I26" s="322"/>
      <c r="J26" s="322"/>
      <c r="K26" s="369"/>
      <c r="L26" s="295"/>
      <c r="M26" s="317"/>
      <c r="N26" s="295"/>
      <c r="O26" s="304"/>
      <c r="P26" s="370"/>
      <c r="Q26" s="370"/>
      <c r="R26" s="370"/>
      <c r="S26" s="370"/>
      <c r="T26" s="304"/>
      <c r="U26" s="319"/>
      <c r="V26" s="374"/>
      <c r="W26" s="324"/>
      <c r="X26" s="370"/>
      <c r="Y26" s="321"/>
      <c r="Z26" s="304"/>
      <c r="AA26" s="318"/>
      <c r="AB26" s="371"/>
      <c r="AC26" s="329"/>
      <c r="AD26" s="327"/>
      <c r="AE26" s="328"/>
      <c r="AF26" s="329"/>
      <c r="AG26" s="312"/>
      <c r="AI26" s="313"/>
    </row>
    <row r="27" spans="1:35" ht="16.5" thickBot="1">
      <c r="A27" s="330"/>
      <c r="B27" s="331" t="s">
        <v>23</v>
      </c>
      <c r="C27" s="63">
        <v>9.2045942412070245E-2</v>
      </c>
      <c r="D27" s="332">
        <v>2006319</v>
      </c>
      <c r="E27" s="372">
        <v>0</v>
      </c>
      <c r="F27" s="372"/>
      <c r="G27" s="335">
        <f>SUM(D27:F27)</f>
        <v>2006319</v>
      </c>
      <c r="H27" s="340">
        <v>2327636</v>
      </c>
      <c r="I27" s="340">
        <v>86971.83</v>
      </c>
      <c r="J27" s="333"/>
      <c r="K27" s="337">
        <f>SUM(H27:J27)</f>
        <v>2414607.83</v>
      </c>
      <c r="L27" s="333">
        <v>1161054</v>
      </c>
      <c r="M27" s="372">
        <v>107365.66</v>
      </c>
      <c r="N27" s="333"/>
      <c r="O27" s="337">
        <f>SUM(L27:N27)</f>
        <v>1268419.6599999999</v>
      </c>
      <c r="P27" s="373">
        <v>64176</v>
      </c>
      <c r="Q27" s="373">
        <v>23384</v>
      </c>
      <c r="R27" s="373"/>
      <c r="S27" s="373"/>
      <c r="T27" s="337">
        <f>SUM(P27:S27)</f>
        <v>87560</v>
      </c>
      <c r="U27" s="336">
        <v>735153</v>
      </c>
      <c r="V27" s="375">
        <v>0</v>
      </c>
      <c r="W27" s="365">
        <f>SUM(U27:V27)</f>
        <v>735153</v>
      </c>
      <c r="X27" s="373"/>
      <c r="Y27" s="343">
        <v>779573</v>
      </c>
      <c r="Z27" s="337">
        <f>Y27+X27</f>
        <v>779573</v>
      </c>
      <c r="AA27" s="335">
        <v>32853</v>
      </c>
      <c r="AB27" s="386">
        <f>+G27+K27+O27+W27+Z27+AA27+T27</f>
        <v>7324485.4900000002</v>
      </c>
      <c r="AC27" s="344">
        <v>7356920.6900000004</v>
      </c>
      <c r="AD27" s="345"/>
      <c r="AE27" s="346">
        <f>AB27-AC27</f>
        <v>-32435.200000000186</v>
      </c>
      <c r="AF27" s="347">
        <f>SUM(AE27/AC27)</f>
        <v>-4.4088010958291549E-3</v>
      </c>
      <c r="AG27" s="312"/>
      <c r="AI27" s="313"/>
    </row>
    <row r="28" spans="1:35" ht="15.75">
      <c r="A28" s="270"/>
      <c r="B28" s="271"/>
      <c r="C28" s="8"/>
      <c r="D28" s="348"/>
      <c r="E28" s="350"/>
      <c r="F28" s="350"/>
      <c r="G28" s="351"/>
      <c r="H28" s="352"/>
      <c r="I28" s="352"/>
      <c r="J28" s="352"/>
      <c r="K28" s="354"/>
      <c r="L28" s="349"/>
      <c r="M28" s="350"/>
      <c r="N28" s="349"/>
      <c r="O28" s="355"/>
      <c r="P28" s="356"/>
      <c r="Q28" s="356"/>
      <c r="R28" s="356"/>
      <c r="S28" s="356"/>
      <c r="T28" s="304"/>
      <c r="U28" s="358"/>
      <c r="V28" s="359"/>
      <c r="W28" s="324"/>
      <c r="X28" s="356"/>
      <c r="Y28" s="360"/>
      <c r="Z28" s="304"/>
      <c r="AA28" s="357"/>
      <c r="AB28" s="371"/>
      <c r="AC28" s="362"/>
      <c r="AD28" s="312"/>
      <c r="AE28" s="363"/>
      <c r="AF28" s="362"/>
      <c r="AG28" s="312"/>
      <c r="AI28" s="313"/>
    </row>
    <row r="29" spans="1:35" ht="16.5" thickBot="1">
      <c r="A29" s="270"/>
      <c r="B29" s="271" t="s">
        <v>24</v>
      </c>
      <c r="C29" s="51">
        <v>0.10319678208205015</v>
      </c>
      <c r="D29" s="348">
        <v>2405433</v>
      </c>
      <c r="E29" s="399">
        <v>5000</v>
      </c>
      <c r="F29" s="301"/>
      <c r="G29" s="357">
        <f>SUM(D29:F29)</f>
        <v>2410433</v>
      </c>
      <c r="H29" s="352">
        <v>2768422</v>
      </c>
      <c r="I29" s="352"/>
      <c r="J29" s="349"/>
      <c r="K29" s="355">
        <f>SUM(H29:J29)</f>
        <v>2768422</v>
      </c>
      <c r="L29" s="349">
        <v>1383935</v>
      </c>
      <c r="M29" s="301"/>
      <c r="N29" s="349"/>
      <c r="O29" s="355">
        <f>SUM(L29:N29)</f>
        <v>1383935</v>
      </c>
      <c r="P29" s="356">
        <v>72801</v>
      </c>
      <c r="Q29" s="356">
        <v>26565</v>
      </c>
      <c r="R29" s="356"/>
      <c r="S29" s="356"/>
      <c r="T29" s="337">
        <f>SUM(P29:S29)</f>
        <v>99366</v>
      </c>
      <c r="U29" s="358">
        <v>882923</v>
      </c>
      <c r="V29" s="353">
        <v>5000</v>
      </c>
      <c r="W29" s="365">
        <f>SUM(U29:V29)</f>
        <v>887923</v>
      </c>
      <c r="X29" s="356"/>
      <c r="Y29" s="366">
        <v>828349</v>
      </c>
      <c r="Z29" s="337">
        <f>Y29+X29</f>
        <v>828349</v>
      </c>
      <c r="AA29" s="335">
        <v>34909</v>
      </c>
      <c r="AB29" s="386">
        <f>+G29+K29+O29+W29+Z29+AA29+T29</f>
        <v>8413337</v>
      </c>
      <c r="AC29" s="344">
        <v>8609669.3599999994</v>
      </c>
      <c r="AD29" s="312"/>
      <c r="AE29" s="363">
        <f>AB29-AC29</f>
        <v>-196332.3599999994</v>
      </c>
      <c r="AF29" s="367">
        <f>SUM(AE29/AC29)</f>
        <v>-2.2803704972939799E-2</v>
      </c>
      <c r="AG29" s="312"/>
      <c r="AI29" s="313"/>
    </row>
    <row r="30" spans="1:35" ht="15.75">
      <c r="A30" s="314"/>
      <c r="B30" s="315"/>
      <c r="C30" s="60"/>
      <c r="D30" s="316"/>
      <c r="E30" s="317"/>
      <c r="F30" s="317"/>
      <c r="G30" s="368"/>
      <c r="H30" s="322"/>
      <c r="I30" s="322"/>
      <c r="J30" s="322"/>
      <c r="K30" s="369"/>
      <c r="L30" s="295"/>
      <c r="M30" s="317"/>
      <c r="N30" s="295"/>
      <c r="O30" s="304"/>
      <c r="P30" s="370"/>
      <c r="Q30" s="370"/>
      <c r="R30" s="370"/>
      <c r="S30" s="370"/>
      <c r="T30" s="304"/>
      <c r="U30" s="319"/>
      <c r="V30" s="374"/>
      <c r="W30" s="324"/>
      <c r="X30" s="370"/>
      <c r="Y30" s="321"/>
      <c r="Z30" s="304"/>
      <c r="AA30" s="318"/>
      <c r="AB30" s="371"/>
      <c r="AC30" s="329"/>
      <c r="AD30" s="327"/>
      <c r="AE30" s="328"/>
      <c r="AF30" s="329"/>
      <c r="AG30" s="312"/>
      <c r="AI30" s="313"/>
    </row>
    <row r="31" spans="1:35" ht="16.5" thickBot="1">
      <c r="A31" s="330"/>
      <c r="B31" s="331" t="s">
        <v>9</v>
      </c>
      <c r="C31" s="63">
        <v>8.3906939971706562E-2</v>
      </c>
      <c r="D31" s="332">
        <v>1985151</v>
      </c>
      <c r="E31" s="400">
        <v>804890.87</v>
      </c>
      <c r="F31" s="334"/>
      <c r="G31" s="335">
        <f>SUM(D31:F31)</f>
        <v>2790041.87</v>
      </c>
      <c r="H31" s="340">
        <v>2275437</v>
      </c>
      <c r="I31" s="340">
        <v>417540.61</v>
      </c>
      <c r="J31" s="333"/>
      <c r="K31" s="337">
        <f>SUM(H31:J31)</f>
        <v>2692977.61</v>
      </c>
      <c r="L31" s="333">
        <v>1138758</v>
      </c>
      <c r="M31" s="301">
        <v>495213.09</v>
      </c>
      <c r="N31" s="333"/>
      <c r="O31" s="337">
        <f>SUM(L31:N31)</f>
        <v>1633971.09</v>
      </c>
      <c r="P31" s="373">
        <v>83507</v>
      </c>
      <c r="Q31" s="373">
        <v>30471</v>
      </c>
      <c r="R31" s="373">
        <v>450.28</v>
      </c>
      <c r="S31" s="373">
        <v>1681.1</v>
      </c>
      <c r="T31" s="337">
        <f>SUM(P31:S31)</f>
        <v>116109.38</v>
      </c>
      <c r="U31" s="336">
        <v>729293</v>
      </c>
      <c r="V31" s="364">
        <v>82979.210000000006</v>
      </c>
      <c r="W31" s="365">
        <f>SUM(U31:V31)</f>
        <v>812272.21</v>
      </c>
      <c r="X31" s="373"/>
      <c r="Y31" s="343">
        <v>656036</v>
      </c>
      <c r="Z31" s="337">
        <f>Y31+X31</f>
        <v>656036</v>
      </c>
      <c r="AA31" s="335">
        <v>27647</v>
      </c>
      <c r="AB31" s="386">
        <f>+G31+K31+O31+W31+Z31+AA31+T31</f>
        <v>8729055.160000002</v>
      </c>
      <c r="AC31" s="344">
        <v>8310261.5</v>
      </c>
      <c r="AD31" s="345"/>
      <c r="AE31" s="346">
        <f>AB31-AC31</f>
        <v>418793.66000000201</v>
      </c>
      <c r="AF31" s="347">
        <f>SUM(AE31/AC31)</f>
        <v>5.0394763149150243E-2</v>
      </c>
      <c r="AG31" s="312"/>
      <c r="AI31" s="313"/>
    </row>
    <row r="32" spans="1:35" ht="15.75">
      <c r="A32" s="314"/>
      <c r="B32" s="315"/>
      <c r="C32" s="60"/>
      <c r="D32" s="316"/>
      <c r="E32" s="317"/>
      <c r="F32" s="317"/>
      <c r="G32" s="368"/>
      <c r="H32" s="322"/>
      <c r="I32" s="322"/>
      <c r="J32" s="322"/>
      <c r="K32" s="369"/>
      <c r="L32" s="295"/>
      <c r="M32" s="317"/>
      <c r="N32" s="295"/>
      <c r="O32" s="304"/>
      <c r="P32" s="370"/>
      <c r="Q32" s="370"/>
      <c r="R32" s="370"/>
      <c r="S32" s="370"/>
      <c r="T32" s="304"/>
      <c r="U32" s="319"/>
      <c r="V32" s="374"/>
      <c r="W32" s="324"/>
      <c r="X32" s="370"/>
      <c r="Y32" s="321"/>
      <c r="Z32" s="304"/>
      <c r="AA32" s="318"/>
      <c r="AB32" s="371"/>
      <c r="AC32" s="329"/>
      <c r="AD32" s="327"/>
      <c r="AE32" s="328"/>
      <c r="AF32" s="329"/>
      <c r="AG32" s="312"/>
      <c r="AI32" s="313"/>
    </row>
    <row r="33" spans="1:36" ht="16.5" thickBot="1">
      <c r="A33" s="330"/>
      <c r="B33" s="331" t="s">
        <v>10</v>
      </c>
      <c r="C33" s="63">
        <v>0.19909437092396759</v>
      </c>
      <c r="D33" s="401">
        <v>4582878</v>
      </c>
      <c r="E33" s="332">
        <v>622400.55000000005</v>
      </c>
      <c r="F33" s="334"/>
      <c r="G33" s="335">
        <f>SUM(D33:F33)</f>
        <v>5205278.55</v>
      </c>
      <c r="H33" s="340">
        <v>5248293</v>
      </c>
      <c r="I33" s="340">
        <v>155684.03</v>
      </c>
      <c r="J33" s="333"/>
      <c r="K33" s="337">
        <f>SUM(H33:J33)</f>
        <v>5403977.0300000003</v>
      </c>
      <c r="L33" s="333">
        <v>2627191</v>
      </c>
      <c r="M33" s="334">
        <v>87975.47</v>
      </c>
      <c r="N33" s="333"/>
      <c r="O33" s="337">
        <f>SUM(L33:N33)</f>
        <v>2715166.47</v>
      </c>
      <c r="P33" s="373">
        <v>170024</v>
      </c>
      <c r="Q33" s="373">
        <v>62132</v>
      </c>
      <c r="R33" s="373">
        <v>5623.88</v>
      </c>
      <c r="S33" s="373">
        <v>41349.300000000003</v>
      </c>
      <c r="T33" s="337">
        <f>SUM(P33:S33)</f>
        <v>279129.18</v>
      </c>
      <c r="U33" s="336">
        <v>1683957</v>
      </c>
      <c r="V33" s="375">
        <v>110669.83</v>
      </c>
      <c r="W33" s="365">
        <f>SUM(U33:V33)</f>
        <v>1794626.83</v>
      </c>
      <c r="X33" s="373"/>
      <c r="Y33" s="343">
        <v>1232619</v>
      </c>
      <c r="Z33" s="337">
        <f>Y33+X33</f>
        <v>1232619</v>
      </c>
      <c r="AA33" s="335">
        <v>51946</v>
      </c>
      <c r="AB33" s="386">
        <f>+G33+K33+O33+W33+Z33+AA33+T33</f>
        <v>16682743.060000001</v>
      </c>
      <c r="AC33" s="344">
        <v>16281489.869999999</v>
      </c>
      <c r="AD33" s="345"/>
      <c r="AE33" s="346">
        <f>AB33-AC33</f>
        <v>401253.19000000134</v>
      </c>
      <c r="AF33" s="347">
        <f>SUM(AE33/AC33)</f>
        <v>2.4644746469998657E-2</v>
      </c>
      <c r="AG33" s="312"/>
      <c r="AI33" s="313"/>
    </row>
    <row r="34" spans="1:36" ht="15.75">
      <c r="A34" s="270"/>
      <c r="B34" s="271"/>
      <c r="C34" s="8"/>
      <c r="D34" s="348"/>
      <c r="E34" s="350"/>
      <c r="F34" s="350"/>
      <c r="G34" s="351"/>
      <c r="H34" s="295"/>
      <c r="I34" s="348"/>
      <c r="J34" s="295"/>
      <c r="K34" s="354"/>
      <c r="L34" s="349"/>
      <c r="M34" s="350"/>
      <c r="N34" s="349"/>
      <c r="O34" s="355"/>
      <c r="P34" s="376"/>
      <c r="Q34" s="376"/>
      <c r="R34" s="376"/>
      <c r="S34" s="376"/>
      <c r="T34" s="357"/>
      <c r="U34" s="358"/>
      <c r="V34" s="359"/>
      <c r="W34" s="342"/>
      <c r="X34" s="376"/>
      <c r="Y34" s="377"/>
      <c r="Z34" s="355"/>
      <c r="AA34" s="357"/>
      <c r="AB34" s="361"/>
      <c r="AC34" s="362"/>
      <c r="AD34" s="312"/>
      <c r="AE34" s="363"/>
      <c r="AF34" s="362"/>
      <c r="AG34" s="312"/>
      <c r="AI34" s="313"/>
    </row>
    <row r="35" spans="1:36" ht="15.75">
      <c r="A35" s="270"/>
      <c r="B35" s="271" t="s">
        <v>72</v>
      </c>
      <c r="C35" s="51">
        <f t="shared" ref="C35" si="0">SUM(C13:C33)</f>
        <v>1</v>
      </c>
      <c r="D35" s="352">
        <f>SUM(D13:D33)</f>
        <v>23470439</v>
      </c>
      <c r="E35" s="350">
        <f t="shared" ref="E35:X35" si="1">SUM(E13:E33)</f>
        <v>1853651.23</v>
      </c>
      <c r="F35" s="350">
        <f t="shared" si="1"/>
        <v>0</v>
      </c>
      <c r="G35" s="351">
        <f>SUM(G13:G33)</f>
        <v>25324090.23</v>
      </c>
      <c r="H35" s="352">
        <f>SUM(H13:H33)</f>
        <v>26996737</v>
      </c>
      <c r="I35" s="352">
        <f>SUM(I13:I33)</f>
        <v>839300.84000000008</v>
      </c>
      <c r="J35" s="350">
        <f t="shared" si="1"/>
        <v>0</v>
      </c>
      <c r="K35" s="354">
        <f t="shared" si="1"/>
        <v>27836037.840000004</v>
      </c>
      <c r="L35" s="352">
        <f>SUM(L13:L33)</f>
        <v>13497792</v>
      </c>
      <c r="M35" s="352">
        <f>SUM(M13:M33)</f>
        <v>710297.59</v>
      </c>
      <c r="N35" s="353"/>
      <c r="O35" s="355">
        <f t="shared" si="1"/>
        <v>14208089.590000002</v>
      </c>
      <c r="P35" s="352">
        <f t="shared" si="1"/>
        <v>1116411</v>
      </c>
      <c r="Q35" s="352">
        <f t="shared" si="1"/>
        <v>407431</v>
      </c>
      <c r="R35" s="352">
        <f>SUM(R13:R33)</f>
        <v>12469.439999999999</v>
      </c>
      <c r="S35" s="352">
        <f>SUM(S13:S33)</f>
        <v>93006.200000000012</v>
      </c>
      <c r="T35" s="355">
        <f t="shared" si="1"/>
        <v>1629317.64</v>
      </c>
      <c r="U35" s="352">
        <f>SUM(U13:U33)</f>
        <v>8615970</v>
      </c>
      <c r="V35" s="352">
        <f>SUM(V13:V33)</f>
        <v>325682.07</v>
      </c>
      <c r="W35" s="342">
        <f t="shared" si="1"/>
        <v>8941652.0700000003</v>
      </c>
      <c r="X35" s="358">
        <f t="shared" si="1"/>
        <v>462101.21</v>
      </c>
      <c r="Y35" s="352">
        <f>SUM(Y13:Y33)</f>
        <v>8233865</v>
      </c>
      <c r="Z35" s="355">
        <f>Y35+X35</f>
        <v>8695966.2100000009</v>
      </c>
      <c r="AA35" s="357">
        <f>SUM(AA13:AA33)</f>
        <v>346998</v>
      </c>
      <c r="AB35" s="361">
        <f>SUM(AB13:AB33)</f>
        <v>86982151.580000013</v>
      </c>
      <c r="AC35" s="362">
        <f>SUM(AC13:AC33)</f>
        <v>87029491.550000012</v>
      </c>
      <c r="AD35" s="312"/>
      <c r="AE35" s="363">
        <f>SUM(AE13:AE33)</f>
        <v>-47339.969999996014</v>
      </c>
      <c r="AF35" s="367">
        <f>SUM(AE35/AC35)</f>
        <v>-5.4395319513958495E-4</v>
      </c>
      <c r="AG35" s="313"/>
      <c r="AH35" s="312"/>
      <c r="AI35" s="313"/>
      <c r="AJ35" s="312"/>
    </row>
    <row r="36" spans="1:36" ht="16.5" thickBot="1">
      <c r="A36" s="330"/>
      <c r="B36" s="331"/>
      <c r="C36" s="378"/>
      <c r="D36" s="332"/>
      <c r="E36" s="375"/>
      <c r="F36" s="372"/>
      <c r="G36" s="379"/>
      <c r="H36" s="333"/>
      <c r="I36" s="332"/>
      <c r="J36" s="380"/>
      <c r="K36" s="381"/>
      <c r="L36" s="333"/>
      <c r="M36" s="372"/>
      <c r="N36" s="333"/>
      <c r="O36" s="337"/>
      <c r="P36" s="382"/>
      <c r="Q36" s="382"/>
      <c r="R36" s="382"/>
      <c r="S36" s="382"/>
      <c r="T36" s="337"/>
      <c r="U36" s="336"/>
      <c r="V36" s="383"/>
      <c r="W36" s="365"/>
      <c r="X36" s="384"/>
      <c r="Y36" s="385"/>
      <c r="Z36" s="337"/>
      <c r="AA36" s="335"/>
      <c r="AB36" s="386"/>
      <c r="AC36" s="387"/>
      <c r="AD36" s="345"/>
      <c r="AE36" s="346"/>
      <c r="AF36" s="387"/>
      <c r="AI36" s="313"/>
    </row>
    <row r="37" spans="1:36">
      <c r="D37" s="312"/>
      <c r="E37" s="312"/>
      <c r="F37" s="312"/>
      <c r="G37" s="312"/>
      <c r="J37" s="388"/>
      <c r="AA37" s="312"/>
      <c r="AF37" s="263"/>
      <c r="AI37" s="313"/>
    </row>
    <row r="38" spans="1:36">
      <c r="D38" s="312"/>
      <c r="E38" s="312"/>
      <c r="F38" s="312"/>
      <c r="G38" s="312"/>
      <c r="J38" s="389"/>
      <c r="AA38" s="312"/>
    </row>
    <row r="39" spans="1:36" ht="12.75" customHeight="1">
      <c r="D39" s="312"/>
      <c r="E39" s="312"/>
      <c r="F39" s="312"/>
      <c r="G39" s="312"/>
      <c r="J39" s="388"/>
    </row>
    <row r="40" spans="1:36">
      <c r="D40" s="312"/>
      <c r="E40" s="312"/>
      <c r="F40" s="312"/>
      <c r="G40" s="312"/>
      <c r="J40" s="389"/>
      <c r="AB40" s="390"/>
    </row>
    <row r="41" spans="1:36">
      <c r="J41" s="388"/>
    </row>
    <row r="42" spans="1:36">
      <c r="D42" s="312"/>
      <c r="E42" s="312"/>
      <c r="F42" s="312"/>
      <c r="G42" s="312"/>
      <c r="J42" s="389"/>
      <c r="AB42" s="391"/>
    </row>
    <row r="43" spans="1:36">
      <c r="J43" s="388"/>
      <c r="AB43" s="390"/>
    </row>
    <row r="44" spans="1:36">
      <c r="J44" s="389"/>
    </row>
    <row r="45" spans="1:36">
      <c r="J45" s="388"/>
    </row>
    <row r="46" spans="1:36">
      <c r="H46" s="263" t="s">
        <v>2</v>
      </c>
      <c r="J46" s="389"/>
    </row>
    <row r="47" spans="1:36">
      <c r="J47" s="388"/>
    </row>
    <row r="48" spans="1:36">
      <c r="J48" s="389"/>
    </row>
    <row r="49" spans="3:26">
      <c r="J49" s="388" t="e">
        <f>I49+#REF!</f>
        <v>#REF!</v>
      </c>
    </row>
    <row r="50" spans="3:26">
      <c r="J50" s="389"/>
    </row>
    <row r="51" spans="3:26">
      <c r="J51" s="388" t="e">
        <f>I51+#REF!</f>
        <v>#REF!</v>
      </c>
    </row>
    <row r="52" spans="3:26">
      <c r="J52" s="389"/>
    </row>
    <row r="53" spans="3:26">
      <c r="J53" s="388" t="e">
        <f>I53+#REF!</f>
        <v>#REF!</v>
      </c>
    </row>
    <row r="54" spans="3:26">
      <c r="J54" s="392"/>
    </row>
    <row r="55" spans="3:26">
      <c r="J55" s="388" t="e">
        <f>I55+#REF!</f>
        <v>#REF!</v>
      </c>
    </row>
    <row r="61" spans="3:26">
      <c r="C61" s="312"/>
      <c r="H61" s="312"/>
      <c r="I61" s="312"/>
      <c r="J61" s="312"/>
      <c r="K61" s="312"/>
      <c r="L61" s="312"/>
      <c r="M61" s="312"/>
      <c r="N61" s="312"/>
      <c r="O61" s="312"/>
      <c r="P61" s="393"/>
      <c r="Q61" s="393"/>
      <c r="R61" s="312"/>
      <c r="S61" s="312"/>
      <c r="T61" s="312"/>
      <c r="U61" s="312"/>
      <c r="V61" s="312"/>
      <c r="W61" s="312"/>
      <c r="X61" s="393"/>
      <c r="Y61" s="393"/>
      <c r="Z61" s="312"/>
    </row>
    <row r="62" spans="3:26">
      <c r="C62" s="312"/>
    </row>
    <row r="63" spans="3:26">
      <c r="C63" s="312"/>
      <c r="H63" s="312"/>
      <c r="I63" s="312"/>
      <c r="J63" s="312"/>
      <c r="K63" s="312"/>
      <c r="L63" s="312"/>
      <c r="M63" s="312"/>
      <c r="N63" s="312"/>
      <c r="O63" s="312"/>
      <c r="P63" s="393"/>
      <c r="Q63" s="393"/>
      <c r="R63" s="312"/>
      <c r="S63" s="312"/>
      <c r="T63" s="312"/>
      <c r="U63" s="312"/>
      <c r="V63" s="312"/>
      <c r="W63" s="312"/>
      <c r="X63" s="393"/>
      <c r="Y63" s="393"/>
      <c r="Z63" s="312"/>
    </row>
    <row r="64" spans="3:26">
      <c r="C64" s="312"/>
    </row>
    <row r="65" spans="3:26">
      <c r="C65" s="312"/>
      <c r="H65" s="312"/>
      <c r="I65" s="312"/>
      <c r="J65" s="312"/>
      <c r="K65" s="312"/>
      <c r="L65" s="312"/>
      <c r="M65" s="312"/>
      <c r="N65" s="312"/>
      <c r="O65" s="312"/>
      <c r="P65" s="393"/>
      <c r="Q65" s="393"/>
      <c r="R65" s="312"/>
      <c r="S65" s="312"/>
      <c r="T65" s="312"/>
      <c r="U65" s="312"/>
      <c r="V65" s="312"/>
      <c r="W65" s="312"/>
      <c r="X65" s="393"/>
      <c r="Y65" s="393"/>
      <c r="Z65" s="312"/>
    </row>
    <row r="66" spans="3:26">
      <c r="C66" s="312"/>
    </row>
    <row r="67" spans="3:26">
      <c r="C67" s="312"/>
      <c r="H67" s="312"/>
      <c r="I67" s="312"/>
      <c r="J67" s="312"/>
      <c r="K67" s="312"/>
      <c r="L67" s="312"/>
      <c r="M67" s="312"/>
      <c r="N67" s="312"/>
      <c r="O67" s="312"/>
      <c r="P67" s="393"/>
      <c r="Q67" s="393"/>
      <c r="R67" s="312"/>
      <c r="S67" s="312"/>
      <c r="T67" s="312"/>
      <c r="U67" s="312"/>
      <c r="V67" s="312"/>
      <c r="W67" s="312"/>
      <c r="X67" s="393"/>
      <c r="Y67" s="393"/>
      <c r="Z67" s="312"/>
    </row>
    <row r="68" spans="3:26">
      <c r="C68" s="312"/>
    </row>
    <row r="69" spans="3:26">
      <c r="C69" s="312"/>
      <c r="H69" s="312"/>
      <c r="I69" s="312"/>
      <c r="J69" s="312"/>
      <c r="K69" s="312"/>
      <c r="L69" s="312"/>
      <c r="M69" s="312"/>
      <c r="N69" s="312"/>
      <c r="O69" s="312"/>
      <c r="P69" s="393"/>
      <c r="Q69" s="393"/>
      <c r="R69" s="312"/>
      <c r="S69" s="312"/>
      <c r="T69" s="312"/>
      <c r="U69" s="312"/>
      <c r="V69" s="312"/>
      <c r="W69" s="312"/>
      <c r="X69" s="393"/>
      <c r="Y69" s="393"/>
      <c r="Z69" s="312"/>
    </row>
    <row r="70" spans="3:26">
      <c r="C70" s="312"/>
    </row>
    <row r="71" spans="3:26">
      <c r="C71" s="312"/>
      <c r="H71" s="312"/>
      <c r="I71" s="312"/>
      <c r="J71" s="312"/>
      <c r="K71" s="312"/>
      <c r="L71" s="312"/>
      <c r="M71" s="312"/>
      <c r="N71" s="312"/>
      <c r="O71" s="312"/>
      <c r="P71" s="393"/>
      <c r="Q71" s="393"/>
      <c r="R71" s="312"/>
      <c r="S71" s="312"/>
      <c r="T71" s="312"/>
      <c r="U71" s="312"/>
      <c r="V71" s="312"/>
      <c r="W71" s="312"/>
      <c r="X71" s="393"/>
      <c r="Y71" s="393"/>
      <c r="Z71" s="312"/>
    </row>
    <row r="72" spans="3:26">
      <c r="C72" s="312"/>
    </row>
    <row r="73" spans="3:26">
      <c r="C73" s="312"/>
      <c r="H73" s="312"/>
      <c r="I73" s="312"/>
      <c r="J73" s="312"/>
      <c r="K73" s="312"/>
      <c r="L73" s="312"/>
      <c r="M73" s="312"/>
      <c r="N73" s="312"/>
      <c r="O73" s="312"/>
      <c r="P73" s="393"/>
      <c r="Q73" s="393"/>
      <c r="R73" s="312"/>
      <c r="S73" s="312"/>
      <c r="T73" s="312"/>
      <c r="U73" s="312"/>
      <c r="V73" s="312"/>
      <c r="W73" s="312"/>
      <c r="X73" s="393"/>
      <c r="Y73" s="393"/>
      <c r="Z73" s="312"/>
    </row>
    <row r="74" spans="3:26">
      <c r="C74" s="312"/>
    </row>
    <row r="75" spans="3:26">
      <c r="C75" s="312"/>
      <c r="H75" s="312"/>
      <c r="I75" s="312"/>
      <c r="J75" s="312"/>
      <c r="K75" s="312"/>
      <c r="L75" s="312"/>
      <c r="M75" s="312"/>
      <c r="N75" s="312"/>
      <c r="O75" s="312"/>
      <c r="P75" s="393"/>
      <c r="Q75" s="393"/>
      <c r="R75" s="312"/>
      <c r="S75" s="312"/>
      <c r="T75" s="312"/>
      <c r="U75" s="312"/>
      <c r="V75" s="312"/>
      <c r="W75" s="312"/>
      <c r="X75" s="393"/>
      <c r="Y75" s="393"/>
      <c r="Z75" s="312"/>
    </row>
    <row r="76" spans="3:26">
      <c r="C76" s="312"/>
    </row>
    <row r="77" spans="3:26">
      <c r="C77" s="312"/>
      <c r="H77" s="312"/>
      <c r="I77" s="312"/>
      <c r="J77" s="312"/>
      <c r="K77" s="312"/>
      <c r="L77" s="312"/>
      <c r="M77" s="312"/>
      <c r="N77" s="312"/>
      <c r="O77" s="312"/>
      <c r="P77" s="393"/>
      <c r="Q77" s="393"/>
      <c r="R77" s="312"/>
      <c r="S77" s="312"/>
      <c r="T77" s="312"/>
      <c r="U77" s="312"/>
      <c r="V77" s="312"/>
      <c r="W77" s="312"/>
      <c r="X77" s="393"/>
      <c r="Y77" s="393"/>
      <c r="Z77" s="312"/>
    </row>
    <row r="78" spans="3:26">
      <c r="C78" s="312"/>
    </row>
    <row r="79" spans="3:26">
      <c r="C79" s="312"/>
      <c r="H79" s="312"/>
      <c r="I79" s="312"/>
      <c r="J79" s="312"/>
      <c r="K79" s="312"/>
      <c r="L79" s="312"/>
      <c r="M79" s="312"/>
      <c r="N79" s="312"/>
      <c r="O79" s="312"/>
      <c r="P79" s="393"/>
      <c r="Q79" s="393"/>
      <c r="R79" s="312"/>
      <c r="S79" s="312"/>
      <c r="T79" s="312"/>
      <c r="U79" s="312"/>
      <c r="V79" s="312"/>
      <c r="W79" s="312"/>
      <c r="X79" s="393"/>
      <c r="Y79" s="393"/>
      <c r="Z79" s="312"/>
    </row>
    <row r="80" spans="3:26">
      <c r="C80" s="312"/>
    </row>
    <row r="81" spans="3:26">
      <c r="C81" s="312"/>
      <c r="H81" s="312"/>
      <c r="I81" s="312"/>
      <c r="J81" s="312"/>
      <c r="K81" s="312"/>
      <c r="L81" s="312"/>
      <c r="M81" s="312"/>
      <c r="N81" s="312"/>
      <c r="O81" s="312"/>
      <c r="P81" s="393"/>
      <c r="Q81" s="393"/>
      <c r="R81" s="312"/>
      <c r="S81" s="312"/>
      <c r="T81" s="312"/>
      <c r="U81" s="312"/>
      <c r="V81" s="312"/>
      <c r="W81" s="312"/>
      <c r="X81" s="393"/>
      <c r="Y81" s="393"/>
      <c r="Z81" s="312"/>
    </row>
    <row r="82" spans="3:26">
      <c r="C82" s="312"/>
      <c r="H82" s="312"/>
      <c r="I82" s="312"/>
      <c r="J82" s="312"/>
      <c r="K82" s="312"/>
    </row>
    <row r="83" spans="3:26">
      <c r="C83" s="312"/>
      <c r="H83" s="312"/>
      <c r="I83" s="312"/>
      <c r="J83" s="312"/>
      <c r="K83" s="312"/>
      <c r="L83" s="312"/>
      <c r="M83" s="312"/>
      <c r="N83" s="312"/>
      <c r="O83" s="312"/>
      <c r="P83" s="393"/>
      <c r="Q83" s="393"/>
      <c r="R83" s="312"/>
      <c r="S83" s="312"/>
      <c r="T83" s="312"/>
      <c r="U83" s="312"/>
      <c r="V83" s="312"/>
      <c r="W83" s="312"/>
      <c r="X83" s="393"/>
      <c r="Y83" s="393"/>
      <c r="Z83" s="312"/>
    </row>
    <row r="104" spans="4:11">
      <c r="H104" s="312"/>
      <c r="I104" s="312"/>
      <c r="J104" s="312"/>
      <c r="K104" s="312"/>
    </row>
    <row r="106" spans="4:11">
      <c r="H106" s="312"/>
      <c r="I106" s="312"/>
      <c r="J106" s="312"/>
      <c r="K106" s="312"/>
    </row>
    <row r="107" spans="4:11">
      <c r="H107" s="312"/>
      <c r="I107" s="312"/>
      <c r="J107" s="312"/>
      <c r="K107" s="312"/>
    </row>
    <row r="108" spans="4:11">
      <c r="H108" s="312"/>
      <c r="I108" s="312"/>
      <c r="J108" s="312"/>
      <c r="K108" s="312"/>
    </row>
    <row r="109" spans="4:11">
      <c r="D109" s="312"/>
      <c r="E109" s="312"/>
      <c r="F109" s="312"/>
      <c r="G109" s="312"/>
      <c r="H109" s="312"/>
      <c r="I109" s="312"/>
      <c r="J109" s="312"/>
      <c r="K109" s="312"/>
    </row>
    <row r="110" spans="4:11">
      <c r="D110" s="312"/>
      <c r="E110" s="312"/>
      <c r="F110" s="312"/>
      <c r="G110" s="312"/>
      <c r="H110" s="312"/>
      <c r="I110" s="312"/>
      <c r="J110" s="312"/>
      <c r="K110" s="312"/>
    </row>
    <row r="111" spans="4:11">
      <c r="D111" s="312"/>
      <c r="E111" s="312"/>
      <c r="F111" s="312"/>
      <c r="G111" s="312"/>
      <c r="H111" s="312"/>
      <c r="I111" s="312"/>
      <c r="J111" s="312"/>
      <c r="K111" s="312"/>
    </row>
    <row r="112" spans="4:11">
      <c r="D112" s="312"/>
      <c r="E112" s="312"/>
      <c r="F112" s="312"/>
      <c r="G112" s="312"/>
      <c r="H112" s="312"/>
      <c r="I112" s="312"/>
      <c r="J112" s="312"/>
      <c r="K112" s="312"/>
    </row>
    <row r="113" spans="3:35">
      <c r="C113" s="312"/>
      <c r="D113" s="312"/>
      <c r="E113" s="312"/>
      <c r="F113" s="312"/>
      <c r="G113" s="312"/>
      <c r="H113" s="312"/>
      <c r="I113" s="312"/>
      <c r="J113" s="312"/>
      <c r="K113" s="312"/>
      <c r="L113" s="312"/>
      <c r="M113" s="312"/>
      <c r="N113" s="312"/>
      <c r="O113" s="312"/>
      <c r="P113" s="393"/>
      <c r="Q113" s="393"/>
      <c r="R113" s="312"/>
      <c r="S113" s="312"/>
      <c r="T113" s="312"/>
      <c r="U113" s="312"/>
      <c r="V113" s="312"/>
      <c r="W113" s="312"/>
      <c r="X113" s="393"/>
      <c r="Y113" s="393"/>
      <c r="Z113" s="312"/>
      <c r="AB113" s="312"/>
      <c r="AC113" s="312"/>
      <c r="AG113" s="394"/>
      <c r="AI113" s="394"/>
    </row>
    <row r="114" spans="3:35">
      <c r="D114" s="312"/>
      <c r="E114" s="312"/>
      <c r="F114" s="312"/>
      <c r="G114" s="312"/>
      <c r="H114" s="312"/>
      <c r="I114" s="312"/>
      <c r="J114" s="312"/>
      <c r="K114" s="312"/>
      <c r="Z114" s="312"/>
      <c r="AG114" s="394"/>
    </row>
    <row r="115" spans="3:35">
      <c r="C115" s="312"/>
      <c r="D115" s="312"/>
      <c r="E115" s="312"/>
      <c r="F115" s="312"/>
      <c r="G115" s="312"/>
      <c r="H115" s="312"/>
      <c r="I115" s="312"/>
      <c r="J115" s="312"/>
      <c r="K115" s="312"/>
      <c r="L115" s="312"/>
      <c r="M115" s="312"/>
      <c r="N115" s="312"/>
      <c r="O115" s="312"/>
      <c r="P115" s="393"/>
      <c r="Q115" s="393"/>
      <c r="R115" s="312"/>
      <c r="S115" s="312"/>
      <c r="T115" s="312"/>
      <c r="U115" s="312"/>
      <c r="V115" s="312"/>
      <c r="W115" s="312"/>
      <c r="X115" s="393"/>
      <c r="Y115" s="393"/>
      <c r="Z115" s="312"/>
      <c r="AB115" s="312"/>
      <c r="AC115" s="312"/>
      <c r="AG115" s="394"/>
      <c r="AI115" s="394"/>
    </row>
    <row r="116" spans="3:35">
      <c r="D116" s="312"/>
      <c r="E116" s="312"/>
      <c r="F116" s="312"/>
      <c r="G116" s="312"/>
      <c r="H116" s="312"/>
      <c r="I116" s="312"/>
      <c r="J116" s="312"/>
      <c r="K116" s="312"/>
      <c r="Z116" s="312"/>
      <c r="AG116" s="394"/>
    </row>
    <row r="117" spans="3:35">
      <c r="C117" s="312"/>
      <c r="D117" s="312"/>
      <c r="E117" s="312"/>
      <c r="F117" s="312"/>
      <c r="G117" s="312"/>
      <c r="H117" s="312"/>
      <c r="I117" s="312"/>
      <c r="J117" s="312"/>
      <c r="K117" s="312"/>
      <c r="L117" s="312"/>
      <c r="M117" s="312"/>
      <c r="N117" s="312"/>
      <c r="O117" s="312"/>
      <c r="P117" s="393"/>
      <c r="Q117" s="393"/>
      <c r="R117" s="312"/>
      <c r="S117" s="312"/>
      <c r="T117" s="312"/>
      <c r="U117" s="312"/>
      <c r="V117" s="312"/>
      <c r="W117" s="312"/>
      <c r="X117" s="393"/>
      <c r="Y117" s="393"/>
      <c r="Z117" s="312"/>
      <c r="AB117" s="312"/>
      <c r="AC117" s="312"/>
      <c r="AG117" s="394"/>
      <c r="AI117" s="394"/>
    </row>
    <row r="118" spans="3:35">
      <c r="D118" s="312"/>
      <c r="E118" s="312"/>
      <c r="F118" s="312"/>
      <c r="G118" s="312"/>
      <c r="H118" s="312"/>
      <c r="I118" s="312"/>
      <c r="J118" s="312"/>
      <c r="K118" s="312"/>
      <c r="Z118" s="312"/>
      <c r="AG118" s="394"/>
    </row>
    <row r="119" spans="3:35">
      <c r="C119" s="312"/>
      <c r="D119" s="312"/>
      <c r="E119" s="312"/>
      <c r="F119" s="312"/>
      <c r="G119" s="312"/>
      <c r="H119" s="312"/>
      <c r="I119" s="312"/>
      <c r="J119" s="312"/>
      <c r="K119" s="312"/>
      <c r="L119" s="312"/>
      <c r="M119" s="312"/>
      <c r="N119" s="312"/>
      <c r="O119" s="312"/>
      <c r="P119" s="393"/>
      <c r="Q119" s="393"/>
      <c r="R119" s="312"/>
      <c r="S119" s="312"/>
      <c r="T119" s="312"/>
      <c r="U119" s="312"/>
      <c r="V119" s="312"/>
      <c r="W119" s="312"/>
      <c r="X119" s="393"/>
      <c r="Y119" s="393"/>
      <c r="Z119" s="312"/>
      <c r="AB119" s="312"/>
      <c r="AC119" s="312"/>
      <c r="AG119" s="394"/>
      <c r="AI119" s="394"/>
    </row>
    <row r="120" spans="3:35">
      <c r="D120" s="312"/>
      <c r="E120" s="312"/>
      <c r="F120" s="312"/>
      <c r="G120" s="312"/>
      <c r="H120" s="312"/>
      <c r="I120" s="312"/>
      <c r="J120" s="312"/>
      <c r="K120" s="312"/>
      <c r="Z120" s="312"/>
    </row>
    <row r="121" spans="3:35">
      <c r="C121" s="312"/>
      <c r="D121" s="312"/>
      <c r="E121" s="312"/>
      <c r="F121" s="312"/>
      <c r="G121" s="312"/>
      <c r="H121" s="312"/>
      <c r="I121" s="312"/>
      <c r="J121" s="312"/>
      <c r="K121" s="312"/>
      <c r="L121" s="312"/>
      <c r="M121" s="312"/>
      <c r="N121" s="312"/>
      <c r="O121" s="312"/>
      <c r="P121" s="393"/>
      <c r="Q121" s="393"/>
      <c r="R121" s="312"/>
      <c r="S121" s="312"/>
      <c r="T121" s="312"/>
      <c r="U121" s="312"/>
      <c r="V121" s="312"/>
      <c r="W121" s="312"/>
      <c r="X121" s="393"/>
      <c r="Y121" s="393"/>
      <c r="Z121" s="312"/>
      <c r="AB121" s="312"/>
      <c r="AC121" s="312"/>
      <c r="AG121" s="394"/>
      <c r="AI121" s="394"/>
    </row>
    <row r="122" spans="3:35">
      <c r="D122" s="312"/>
      <c r="E122" s="312"/>
      <c r="F122" s="312"/>
      <c r="G122" s="312"/>
      <c r="H122" s="312"/>
      <c r="I122" s="312"/>
      <c r="J122" s="312"/>
      <c r="K122" s="312"/>
      <c r="Z122" s="312"/>
      <c r="AG122" s="394"/>
    </row>
    <row r="123" spans="3:35">
      <c r="C123" s="312"/>
      <c r="D123" s="312"/>
      <c r="E123" s="312"/>
      <c r="F123" s="312"/>
      <c r="G123" s="312"/>
      <c r="H123" s="312"/>
      <c r="I123" s="312"/>
      <c r="J123" s="312"/>
      <c r="K123" s="312"/>
      <c r="L123" s="312"/>
      <c r="M123" s="312"/>
      <c r="N123" s="312"/>
      <c r="O123" s="312"/>
      <c r="P123" s="393"/>
      <c r="Q123" s="393"/>
      <c r="R123" s="312"/>
      <c r="S123" s="312"/>
      <c r="T123" s="312"/>
      <c r="U123" s="312"/>
      <c r="V123" s="312"/>
      <c r="W123" s="312"/>
      <c r="X123" s="393"/>
      <c r="Y123" s="393"/>
      <c r="Z123" s="312"/>
      <c r="AB123" s="312"/>
      <c r="AC123" s="312"/>
      <c r="AG123" s="394"/>
      <c r="AI123" s="394"/>
    </row>
    <row r="124" spans="3:35">
      <c r="D124" s="312"/>
      <c r="E124" s="312"/>
      <c r="F124" s="312"/>
      <c r="G124" s="312"/>
      <c r="H124" s="312"/>
      <c r="I124" s="312"/>
      <c r="J124" s="312"/>
      <c r="K124" s="312"/>
      <c r="Z124" s="312"/>
      <c r="AG124" s="394"/>
    </row>
    <row r="125" spans="3:35">
      <c r="C125" s="312"/>
      <c r="D125" s="312"/>
      <c r="E125" s="312"/>
      <c r="F125" s="312"/>
      <c r="G125" s="312"/>
      <c r="H125" s="312"/>
      <c r="I125" s="312"/>
      <c r="J125" s="312"/>
      <c r="K125" s="312"/>
      <c r="L125" s="312"/>
      <c r="M125" s="312"/>
      <c r="N125" s="312"/>
      <c r="O125" s="312"/>
      <c r="P125" s="393"/>
      <c r="Q125" s="393"/>
      <c r="R125" s="312"/>
      <c r="S125" s="312"/>
      <c r="T125" s="312"/>
      <c r="U125" s="312"/>
      <c r="V125" s="312"/>
      <c r="W125" s="312"/>
      <c r="X125" s="393"/>
      <c r="Y125" s="393"/>
      <c r="Z125" s="312"/>
      <c r="AB125" s="312"/>
      <c r="AC125" s="312"/>
      <c r="AG125" s="394"/>
      <c r="AI125" s="394"/>
    </row>
    <row r="126" spans="3:35">
      <c r="D126" s="312"/>
      <c r="E126" s="312"/>
      <c r="F126" s="312"/>
      <c r="G126" s="312"/>
      <c r="H126" s="312"/>
      <c r="I126" s="312"/>
      <c r="J126" s="312"/>
      <c r="K126" s="312"/>
      <c r="Z126" s="312"/>
      <c r="AG126" s="394"/>
    </row>
    <row r="127" spans="3:35">
      <c r="C127" s="312"/>
      <c r="D127" s="312"/>
      <c r="E127" s="312"/>
      <c r="F127" s="312"/>
      <c r="G127" s="312"/>
      <c r="H127" s="312"/>
      <c r="I127" s="312"/>
      <c r="J127" s="312"/>
      <c r="K127" s="312"/>
      <c r="L127" s="312"/>
      <c r="M127" s="312"/>
      <c r="N127" s="312"/>
      <c r="O127" s="312"/>
      <c r="P127" s="393"/>
      <c r="Q127" s="393"/>
      <c r="R127" s="312"/>
      <c r="S127" s="312"/>
      <c r="T127" s="312"/>
      <c r="U127" s="312"/>
      <c r="V127" s="312"/>
      <c r="W127" s="312"/>
      <c r="X127" s="393"/>
      <c r="Y127" s="393"/>
      <c r="Z127" s="312"/>
      <c r="AB127" s="312"/>
      <c r="AC127" s="312"/>
      <c r="AG127" s="394"/>
      <c r="AI127" s="394"/>
    </row>
    <row r="128" spans="3:35">
      <c r="D128" s="312"/>
      <c r="E128" s="312"/>
      <c r="F128" s="312"/>
      <c r="G128" s="312"/>
      <c r="H128" s="312"/>
      <c r="I128" s="312"/>
      <c r="J128" s="312"/>
      <c r="K128" s="312"/>
      <c r="Z128" s="312"/>
    </row>
    <row r="129" spans="3:35">
      <c r="C129" s="312"/>
      <c r="D129" s="312"/>
      <c r="E129" s="312"/>
      <c r="F129" s="312"/>
      <c r="G129" s="312"/>
      <c r="H129" s="312"/>
      <c r="I129" s="312"/>
      <c r="J129" s="312"/>
      <c r="K129" s="312"/>
      <c r="L129" s="312"/>
      <c r="M129" s="312"/>
      <c r="N129" s="312"/>
      <c r="O129" s="312"/>
      <c r="P129" s="393"/>
      <c r="Q129" s="393"/>
      <c r="R129" s="312"/>
      <c r="S129" s="312"/>
      <c r="T129" s="312"/>
      <c r="U129" s="312"/>
      <c r="V129" s="312"/>
      <c r="W129" s="312"/>
      <c r="X129" s="393"/>
      <c r="Y129" s="393"/>
      <c r="Z129" s="312"/>
      <c r="AB129" s="312"/>
      <c r="AC129" s="312"/>
      <c r="AG129" s="394"/>
      <c r="AI129" s="394"/>
    </row>
    <row r="130" spans="3:35">
      <c r="D130" s="312"/>
      <c r="E130" s="312"/>
      <c r="F130" s="312"/>
      <c r="G130" s="312"/>
      <c r="H130" s="312"/>
      <c r="I130" s="312"/>
      <c r="J130" s="312"/>
      <c r="K130" s="312"/>
      <c r="Z130" s="312"/>
      <c r="AG130" s="394"/>
    </row>
    <row r="131" spans="3:35">
      <c r="C131" s="312"/>
      <c r="D131" s="312"/>
      <c r="E131" s="312"/>
      <c r="F131" s="312"/>
      <c r="G131" s="312"/>
      <c r="H131" s="312"/>
      <c r="I131" s="312"/>
      <c r="J131" s="312"/>
      <c r="K131" s="312"/>
      <c r="L131" s="312"/>
      <c r="M131" s="312"/>
      <c r="N131" s="312"/>
      <c r="O131" s="312"/>
      <c r="P131" s="393"/>
      <c r="Q131" s="393"/>
      <c r="R131" s="312"/>
      <c r="S131" s="312"/>
      <c r="T131" s="312"/>
      <c r="U131" s="312"/>
      <c r="V131" s="312"/>
      <c r="W131" s="312"/>
      <c r="X131" s="393"/>
      <c r="Y131" s="393"/>
      <c r="Z131" s="312"/>
      <c r="AB131" s="312"/>
      <c r="AC131" s="312"/>
      <c r="AG131" s="394"/>
      <c r="AI131" s="394"/>
    </row>
    <row r="132" spans="3:35">
      <c r="D132" s="312"/>
      <c r="E132" s="312"/>
      <c r="F132" s="312"/>
      <c r="G132" s="312"/>
      <c r="H132" s="312"/>
      <c r="I132" s="312"/>
      <c r="J132" s="312"/>
      <c r="K132" s="312"/>
      <c r="Z132" s="312"/>
      <c r="AG132" s="394"/>
    </row>
    <row r="133" spans="3:35">
      <c r="C133" s="312"/>
      <c r="D133" s="312"/>
      <c r="E133" s="312"/>
      <c r="F133" s="312"/>
      <c r="G133" s="312"/>
      <c r="H133" s="312"/>
      <c r="I133" s="312"/>
      <c r="J133" s="312"/>
      <c r="K133" s="312"/>
      <c r="L133" s="312"/>
      <c r="M133" s="312"/>
      <c r="N133" s="312"/>
      <c r="O133" s="312"/>
      <c r="P133" s="393"/>
      <c r="Q133" s="393"/>
      <c r="R133" s="312"/>
      <c r="S133" s="312"/>
      <c r="T133" s="312"/>
      <c r="U133" s="312"/>
      <c r="V133" s="312"/>
      <c r="W133" s="312"/>
      <c r="X133" s="393"/>
      <c r="Y133" s="393"/>
      <c r="Z133" s="312"/>
      <c r="AB133" s="312"/>
      <c r="AC133" s="312"/>
      <c r="AG133" s="394"/>
      <c r="AI133" s="394"/>
    </row>
    <row r="134" spans="3:35">
      <c r="D134" s="312"/>
      <c r="E134" s="312"/>
      <c r="F134" s="312"/>
      <c r="G134" s="312"/>
      <c r="H134" s="312"/>
      <c r="I134" s="312"/>
      <c r="J134" s="312"/>
      <c r="K134" s="312"/>
      <c r="Z134" s="312"/>
      <c r="AG134" s="394"/>
    </row>
    <row r="135" spans="3:35">
      <c r="C135" s="312"/>
      <c r="D135" s="312"/>
      <c r="E135" s="312"/>
      <c r="F135" s="312"/>
      <c r="G135" s="312"/>
      <c r="H135" s="312"/>
      <c r="I135" s="312"/>
      <c r="J135" s="312"/>
      <c r="K135" s="312"/>
      <c r="L135" s="312"/>
      <c r="M135" s="312"/>
      <c r="N135" s="312"/>
      <c r="O135" s="312"/>
      <c r="P135" s="393"/>
      <c r="Q135" s="393"/>
      <c r="R135" s="312"/>
      <c r="S135" s="312"/>
      <c r="T135" s="312"/>
      <c r="U135" s="312"/>
      <c r="V135" s="312"/>
      <c r="W135" s="312"/>
      <c r="X135" s="393"/>
      <c r="Y135" s="393"/>
      <c r="Z135" s="312"/>
      <c r="AB135" s="312"/>
      <c r="AC135" s="312"/>
      <c r="AG135" s="394"/>
      <c r="AI135" s="394"/>
    </row>
    <row r="136" spans="3:35">
      <c r="Z136" s="312"/>
    </row>
    <row r="140" spans="3:35">
      <c r="AI140" s="263" t="s">
        <v>22</v>
      </c>
    </row>
    <row r="142" spans="3:35">
      <c r="C142" s="312"/>
    </row>
    <row r="165" spans="3:11">
      <c r="C165" s="394"/>
      <c r="H165" s="312"/>
      <c r="I165" s="312"/>
      <c r="J165" s="312"/>
      <c r="K165" s="312"/>
    </row>
    <row r="166" spans="3:11">
      <c r="C166" s="312"/>
      <c r="H166" s="312"/>
      <c r="I166" s="312"/>
      <c r="J166" s="312"/>
      <c r="K166" s="312"/>
    </row>
    <row r="167" spans="3:11">
      <c r="C167" s="394"/>
      <c r="H167" s="312"/>
      <c r="I167" s="312"/>
      <c r="J167" s="312"/>
      <c r="K167" s="312"/>
    </row>
    <row r="168" spans="3:11">
      <c r="C168" s="312"/>
      <c r="H168" s="312"/>
      <c r="I168" s="312"/>
      <c r="J168" s="312"/>
      <c r="K168" s="312"/>
    </row>
    <row r="169" spans="3:11">
      <c r="C169" s="394"/>
      <c r="H169" s="312"/>
      <c r="I169" s="312"/>
      <c r="J169" s="312"/>
      <c r="K169" s="312"/>
    </row>
    <row r="170" spans="3:11">
      <c r="C170" s="312"/>
      <c r="H170" s="312"/>
      <c r="I170" s="312"/>
      <c r="J170" s="312"/>
      <c r="K170" s="312"/>
    </row>
    <row r="171" spans="3:11">
      <c r="C171" s="394"/>
      <c r="H171" s="312"/>
      <c r="I171" s="312"/>
      <c r="J171" s="312"/>
      <c r="K171" s="312"/>
    </row>
    <row r="172" spans="3:11">
      <c r="C172" s="312"/>
      <c r="H172" s="312"/>
      <c r="I172" s="312"/>
      <c r="J172" s="312"/>
      <c r="K172" s="312"/>
    </row>
    <row r="173" spans="3:11">
      <c r="C173" s="394"/>
      <c r="H173" s="312"/>
      <c r="I173" s="312"/>
      <c r="J173" s="312"/>
      <c r="K173" s="312"/>
    </row>
    <row r="174" spans="3:11">
      <c r="C174" s="312"/>
      <c r="H174" s="312"/>
      <c r="I174" s="312"/>
      <c r="J174" s="312"/>
      <c r="K174" s="312"/>
    </row>
    <row r="175" spans="3:11">
      <c r="C175" s="394"/>
      <c r="H175" s="312"/>
      <c r="I175" s="312"/>
      <c r="J175" s="312"/>
      <c r="K175" s="312"/>
    </row>
    <row r="176" spans="3:11">
      <c r="C176" s="312"/>
      <c r="H176" s="312"/>
      <c r="I176" s="312"/>
      <c r="J176" s="312"/>
      <c r="K176" s="312"/>
    </row>
    <row r="177" spans="3:11">
      <c r="C177" s="394"/>
      <c r="H177" s="312"/>
      <c r="I177" s="312"/>
      <c r="J177" s="312"/>
      <c r="K177" s="312"/>
    </row>
    <row r="178" spans="3:11">
      <c r="C178" s="312"/>
      <c r="H178" s="312"/>
      <c r="I178" s="312"/>
      <c r="J178" s="312"/>
      <c r="K178" s="312"/>
    </row>
    <row r="179" spans="3:11">
      <c r="C179" s="394"/>
      <c r="H179" s="312"/>
      <c r="I179" s="312"/>
      <c r="J179" s="312"/>
      <c r="K179" s="312"/>
    </row>
    <row r="180" spans="3:11">
      <c r="C180" s="312"/>
      <c r="H180" s="312"/>
      <c r="I180" s="312"/>
      <c r="J180" s="312"/>
      <c r="K180" s="312"/>
    </row>
    <row r="181" spans="3:11">
      <c r="C181" s="394"/>
      <c r="H181" s="312"/>
      <c r="I181" s="312"/>
      <c r="J181" s="312"/>
      <c r="K181" s="312"/>
    </row>
    <row r="182" spans="3:11">
      <c r="C182" s="312"/>
      <c r="H182" s="312"/>
      <c r="I182" s="312"/>
      <c r="J182" s="312"/>
      <c r="K182" s="312"/>
    </row>
    <row r="183" spans="3:11">
      <c r="C183" s="394"/>
      <c r="H183" s="312"/>
      <c r="I183" s="312"/>
      <c r="J183" s="312"/>
      <c r="K183" s="312"/>
    </row>
    <row r="184" spans="3:11">
      <c r="C184" s="312"/>
      <c r="H184" s="312"/>
      <c r="I184" s="312"/>
      <c r="J184" s="312"/>
      <c r="K184" s="312"/>
    </row>
    <row r="185" spans="3:11">
      <c r="C185" s="394"/>
      <c r="H185" s="312"/>
      <c r="I185" s="312"/>
      <c r="J185" s="312"/>
      <c r="K185" s="312"/>
    </row>
    <row r="186" spans="3:11">
      <c r="C186" s="312"/>
      <c r="H186" s="312"/>
      <c r="I186" s="312"/>
      <c r="J186" s="312"/>
      <c r="K186" s="312"/>
    </row>
    <row r="187" spans="3:11">
      <c r="C187" s="394"/>
      <c r="H187" s="312"/>
      <c r="I187" s="312"/>
      <c r="J187" s="312"/>
      <c r="K187" s="312"/>
    </row>
  </sheetData>
  <mergeCells count="7">
    <mergeCell ref="X7:AA7"/>
    <mergeCell ref="D6:G6"/>
    <mergeCell ref="H6:K6"/>
    <mergeCell ref="L6:O6"/>
    <mergeCell ref="P6:T6"/>
    <mergeCell ref="U6:W6"/>
    <mergeCell ref="X6:AA6"/>
  </mergeCells>
  <pageMargins left="0.5" right="0" top="0.5" bottom="0.5" header="0.51180555555555596" footer="0.51180555555555596"/>
  <pageSetup paperSize="5" scale="60" firstPageNumber="0" orientation="landscape" horizontalDpi="300" verticalDpi="300" r:id="rId1"/>
  <headerFooter alignWithMargins="0"/>
  <colBreaks count="1" manualBreakCount="1">
    <brk id="15" max="41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D1048576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final award 6-2-11</vt:lpstr>
      <vt:lpstr>2011 Svcs and Adm Alloca  updat</vt:lpstr>
      <vt:lpstr>2011 Admin Formula </vt:lpstr>
      <vt:lpstr>2011 Svcs Formula</vt:lpstr>
      <vt:lpstr>IIID Prevention </vt:lpstr>
      <vt:lpstr>OAA updated</vt:lpstr>
      <vt:lpstr>2011 population</vt:lpstr>
      <vt:lpstr>2010 allot with carry forwards</vt:lpstr>
      <vt:lpstr>Sheet1</vt:lpstr>
      <vt:lpstr>Sheet3</vt:lpstr>
      <vt:lpstr>oaa 2011 hopeful award</vt:lpstr>
      <vt:lpstr>original 2011cr thru 4-8</vt:lpstr>
      <vt:lpstr>'2010 allot with carry forwards'!Print_Area</vt:lpstr>
      <vt:lpstr>'2011 Admin Formula '!Print_Area</vt:lpstr>
      <vt:lpstr>'2011 Svcs and Adm Alloca  updat'!Print_Area</vt:lpstr>
      <vt:lpstr>'2011 Svcs Formula'!Print_Area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Kidd Family</dc:creator>
  <cp:lastModifiedBy>Norine Tindall</cp:lastModifiedBy>
  <cp:lastPrinted>2011-06-09T16:35:39Z</cp:lastPrinted>
  <dcterms:created xsi:type="dcterms:W3CDTF">2003-01-21T20:44:35Z</dcterms:created>
  <dcterms:modified xsi:type="dcterms:W3CDTF">2011-07-21T19:35:04Z</dcterms:modified>
</cp:coreProperties>
</file>