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970" windowHeight="6060" tabRatio="598" firstSheet="4" activeTab="7"/>
  </bookViews>
  <sheets>
    <sheet name="oaa 2010" sheetId="5" r:id="rId1"/>
    <sheet name="2010 Svcs and Adm Alloca  updat" sheetId="4" r:id="rId2"/>
    <sheet name="2010 allot with carry forwards" sheetId="15" r:id="rId3"/>
    <sheet name="2010 Admin Formula " sheetId="6" r:id="rId4"/>
    <sheet name="2010 Svcs Formula" sheetId="7" r:id="rId5"/>
    <sheet name="IIID Prevention " sheetId="10" r:id="rId6"/>
    <sheet name="OAA updated" sheetId="9" r:id="rId7"/>
    <sheet name="2010" sheetId="14" r:id="rId8"/>
    <sheet name="Sheet1" sheetId="13" r:id="rId9"/>
  </sheets>
  <externalReferences>
    <externalReference r:id="rId10"/>
  </externalReferences>
  <definedNames>
    <definedName name="Excel_BuiltIn_Print_Area">#REF!</definedName>
    <definedName name="_xlnm.Print_Area" localSheetId="3">'2010 Admin Formula '!$A$1:$Q$41</definedName>
    <definedName name="_xlnm.Print_Area" localSheetId="2">'2010 allot with carry forwards'!$A$1:$AI$42</definedName>
    <definedName name="_xlnm.Print_Area" localSheetId="1">'2010 Svcs and Adm Alloca  updat'!$A$1:$V$42</definedName>
    <definedName name="_xlnm.Print_Area" localSheetId="4">'2010 Svcs Formula'!$A$1:$O$44</definedName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AB13" i="15"/>
  <c r="AB15"/>
  <c r="AB17"/>
  <c r="AB19"/>
  <c r="AB21"/>
  <c r="AB23"/>
  <c r="AB25"/>
  <c r="AB27"/>
  <c r="AB29"/>
  <c r="AB31"/>
  <c r="AB33"/>
  <c r="AC35"/>
  <c r="Y13"/>
  <c r="W35"/>
  <c r="U35"/>
  <c r="T35"/>
  <c r="S35"/>
  <c r="R35"/>
  <c r="V33"/>
  <c r="V31"/>
  <c r="V29"/>
  <c r="V27"/>
  <c r="V25"/>
  <c r="V23"/>
  <c r="V21"/>
  <c r="V19"/>
  <c r="V17"/>
  <c r="V15"/>
  <c r="V13"/>
  <c r="I35"/>
  <c r="H35"/>
  <c r="D35"/>
  <c r="J35"/>
  <c r="G13"/>
  <c r="C35"/>
  <c r="J55"/>
  <c r="J53"/>
  <c r="J51"/>
  <c r="J49"/>
  <c r="Z35"/>
  <c r="AB35" s="1"/>
  <c r="X35"/>
  <c r="Q35"/>
  <c r="P35"/>
  <c r="M35"/>
  <c r="E35"/>
  <c r="Y33"/>
  <c r="K33"/>
  <c r="G33"/>
  <c r="Y31"/>
  <c r="O31"/>
  <c r="K31"/>
  <c r="G31"/>
  <c r="Y29"/>
  <c r="O29"/>
  <c r="G29"/>
  <c r="Y27"/>
  <c r="K27"/>
  <c r="G27"/>
  <c r="Y25"/>
  <c r="O25"/>
  <c r="K25"/>
  <c r="G25"/>
  <c r="Y23"/>
  <c r="O23"/>
  <c r="K23"/>
  <c r="G23"/>
  <c r="Y21"/>
  <c r="O21"/>
  <c r="K21"/>
  <c r="F35"/>
  <c r="Y19"/>
  <c r="O19"/>
  <c r="K19"/>
  <c r="G19"/>
  <c r="Y17"/>
  <c r="O17"/>
  <c r="G17"/>
  <c r="Y15"/>
  <c r="N35"/>
  <c r="K15"/>
  <c r="G15"/>
  <c r="O13"/>
  <c r="AD13" s="1"/>
  <c r="N9" i="4"/>
  <c r="N33" s="1"/>
  <c r="K9"/>
  <c r="H9"/>
  <c r="H33" s="1"/>
  <c r="E9"/>
  <c r="B28" i="5"/>
  <c r="F24"/>
  <c r="B24"/>
  <c r="B16"/>
  <c r="J4" i="14"/>
  <c r="I4"/>
  <c r="H4"/>
  <c r="G4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J68"/>
  <c r="I68"/>
  <c r="H68"/>
  <c r="G68"/>
  <c r="J67"/>
  <c r="I67"/>
  <c r="H67"/>
  <c r="G67"/>
  <c r="J66"/>
  <c r="I66"/>
  <c r="H66"/>
  <c r="G66"/>
  <c r="J65"/>
  <c r="I65"/>
  <c r="H65"/>
  <c r="G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H50"/>
  <c r="G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J36"/>
  <c r="I36"/>
  <c r="H36"/>
  <c r="G36"/>
  <c r="J35"/>
  <c r="I35"/>
  <c r="H35"/>
  <c r="G35"/>
  <c r="J34"/>
  <c r="I34"/>
  <c r="H34"/>
  <c r="G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F82"/>
  <c r="E82"/>
  <c r="D82"/>
  <c r="C82"/>
  <c r="F79"/>
  <c r="E79"/>
  <c r="D79"/>
  <c r="C79"/>
  <c r="F77"/>
  <c r="E77"/>
  <c r="D77"/>
  <c r="C77"/>
  <c r="F71"/>
  <c r="E71"/>
  <c r="D71"/>
  <c r="C71"/>
  <c r="F63"/>
  <c r="E63"/>
  <c r="D63"/>
  <c r="C63"/>
  <c r="F58"/>
  <c r="E58"/>
  <c r="D58"/>
  <c r="C58"/>
  <c r="F52"/>
  <c r="E52"/>
  <c r="D52"/>
  <c r="C52"/>
  <c r="F49"/>
  <c r="E49"/>
  <c r="D49"/>
  <c r="C49"/>
  <c r="F41"/>
  <c r="E41"/>
  <c r="D41"/>
  <c r="C41"/>
  <c r="F24"/>
  <c r="E24"/>
  <c r="D24"/>
  <c r="C24"/>
  <c r="F9"/>
  <c r="E9"/>
  <c r="D9"/>
  <c r="C9"/>
  <c r="F4"/>
  <c r="E4"/>
  <c r="D4"/>
  <c r="C4"/>
  <c r="B12" i="5"/>
  <c r="C17" i="6"/>
  <c r="G17"/>
  <c r="C19"/>
  <c r="G19"/>
  <c r="C21"/>
  <c r="G21"/>
  <c r="C23"/>
  <c r="G23"/>
  <c r="C25"/>
  <c r="G25"/>
  <c r="C27"/>
  <c r="G27"/>
  <c r="C29"/>
  <c r="G29"/>
  <c r="C31"/>
  <c r="G31"/>
  <c r="C33"/>
  <c r="G33"/>
  <c r="C35"/>
  <c r="D35"/>
  <c r="E15" s="1"/>
  <c r="F35"/>
  <c r="G13" s="1"/>
  <c r="H35"/>
  <c r="I13" s="1"/>
  <c r="G33" i="4"/>
  <c r="J33"/>
  <c r="J35" s="1"/>
  <c r="M33"/>
  <c r="C35"/>
  <c r="D35"/>
  <c r="G35"/>
  <c r="M35"/>
  <c r="O13" i="7"/>
  <c r="O15"/>
  <c r="O17"/>
  <c r="O19"/>
  <c r="O21"/>
  <c r="O23"/>
  <c r="O25"/>
  <c r="O27"/>
  <c r="O29"/>
  <c r="O31"/>
  <c r="L33"/>
  <c r="M33"/>
  <c r="N33"/>
  <c r="O33"/>
  <c r="B35"/>
  <c r="C15" s="1"/>
  <c r="D35"/>
  <c r="E13" s="1"/>
  <c r="F35"/>
  <c r="G13" s="1"/>
  <c r="H35"/>
  <c r="I13" s="1"/>
  <c r="K35"/>
  <c r="L35"/>
  <c r="M35"/>
  <c r="N35"/>
  <c r="O35"/>
  <c r="B17" i="10"/>
  <c r="C17"/>
  <c r="B11" i="5"/>
  <c r="B13" s="1"/>
  <c r="C13"/>
  <c r="D13"/>
  <c r="E13"/>
  <c r="F13"/>
  <c r="G13"/>
  <c r="H13"/>
  <c r="I13"/>
  <c r="B18"/>
  <c r="C18"/>
  <c r="C24" s="1"/>
  <c r="C26" s="1"/>
  <c r="D18"/>
  <c r="E18"/>
  <c r="F18"/>
  <c r="G18"/>
  <c r="H18"/>
  <c r="I18"/>
  <c r="H20"/>
  <c r="B20" s="1"/>
  <c r="I21"/>
  <c r="B21" s="1"/>
  <c r="D24"/>
  <c r="D26" s="1"/>
  <c r="E24"/>
  <c r="E26" s="1"/>
  <c r="F26"/>
  <c r="F29" s="1"/>
  <c r="G24"/>
  <c r="G26" s="1"/>
  <c r="G29" s="1"/>
  <c r="H26"/>
  <c r="I26"/>
  <c r="I45"/>
  <c r="I46" s="1"/>
  <c r="E30" i="9"/>
  <c r="F30"/>
  <c r="G30"/>
  <c r="H30"/>
  <c r="V35" i="15" l="1"/>
  <c r="G21"/>
  <c r="AD21" s="1"/>
  <c r="AG21" s="1"/>
  <c r="AH21" s="1"/>
  <c r="Y35"/>
  <c r="O15"/>
  <c r="K17"/>
  <c r="O33"/>
  <c r="AD33" s="1"/>
  <c r="AG33" s="1"/>
  <c r="AH33" s="1"/>
  <c r="O27"/>
  <c r="K29"/>
  <c r="G35"/>
  <c r="AD15"/>
  <c r="AG15" s="1"/>
  <c r="AH15" s="1"/>
  <c r="AD19"/>
  <c r="AG19" s="1"/>
  <c r="AH19" s="1"/>
  <c r="AI19"/>
  <c r="AI25"/>
  <c r="AD25"/>
  <c r="AG25" s="1"/>
  <c r="AH25" s="1"/>
  <c r="AD27"/>
  <c r="AG27" s="1"/>
  <c r="AH27" s="1"/>
  <c r="AI27"/>
  <c r="AI33"/>
  <c r="AI17"/>
  <c r="AD17"/>
  <c r="AG17" s="1"/>
  <c r="AH17" s="1"/>
  <c r="AI21"/>
  <c r="AD23"/>
  <c r="AG23" s="1"/>
  <c r="AH23" s="1"/>
  <c r="AI23"/>
  <c r="AI29"/>
  <c r="AD29"/>
  <c r="AG29" s="1"/>
  <c r="AH29" s="1"/>
  <c r="AD31"/>
  <c r="AG31" s="1"/>
  <c r="AH31" s="1"/>
  <c r="AI31"/>
  <c r="K13"/>
  <c r="K35" s="1"/>
  <c r="G33" i="7"/>
  <c r="G31"/>
  <c r="G29"/>
  <c r="G27"/>
  <c r="G25"/>
  <c r="G23"/>
  <c r="G21"/>
  <c r="G19"/>
  <c r="G17"/>
  <c r="G15"/>
  <c r="G35" s="1"/>
  <c r="C33"/>
  <c r="C29"/>
  <c r="C25"/>
  <c r="C21"/>
  <c r="C17"/>
  <c r="C13"/>
  <c r="C31"/>
  <c r="C27"/>
  <c r="C23"/>
  <c r="C19"/>
  <c r="I33" i="6"/>
  <c r="I31"/>
  <c r="I29"/>
  <c r="I27"/>
  <c r="I25"/>
  <c r="I23"/>
  <c r="J23" s="1"/>
  <c r="I21"/>
  <c r="J21" s="1"/>
  <c r="I19"/>
  <c r="J19" s="1"/>
  <c r="I17"/>
  <c r="I15"/>
  <c r="I9" i="9"/>
  <c r="E13" i="4"/>
  <c r="E15"/>
  <c r="F15" s="1"/>
  <c r="E17"/>
  <c r="F17" s="1"/>
  <c r="E19"/>
  <c r="F19" s="1"/>
  <c r="E21"/>
  <c r="F21" s="1"/>
  <c r="E23"/>
  <c r="F23" s="1"/>
  <c r="E25"/>
  <c r="F25" s="1"/>
  <c r="E27"/>
  <c r="F27" s="1"/>
  <c r="E29"/>
  <c r="F29" s="1"/>
  <c r="E31"/>
  <c r="F31" s="1"/>
  <c r="E33"/>
  <c r="F33" s="1"/>
  <c r="K13"/>
  <c r="K15"/>
  <c r="L15" s="1"/>
  <c r="K17"/>
  <c r="L17" s="1"/>
  <c r="K19"/>
  <c r="L19" s="1"/>
  <c r="K21"/>
  <c r="L21" s="1"/>
  <c r="K23"/>
  <c r="L23" s="1"/>
  <c r="K25"/>
  <c r="L25" s="1"/>
  <c r="K27"/>
  <c r="L27" s="1"/>
  <c r="K29"/>
  <c r="L29" s="1"/>
  <c r="K31"/>
  <c r="L31" s="1"/>
  <c r="K33"/>
  <c r="L33" s="1"/>
  <c r="D29" i="5"/>
  <c r="J13" i="7"/>
  <c r="I23" i="9"/>
  <c r="G15" i="6"/>
  <c r="G35" s="1"/>
  <c r="E13"/>
  <c r="I27" i="9"/>
  <c r="I19"/>
  <c r="I15"/>
  <c r="I11"/>
  <c r="I47" i="5"/>
  <c r="I29" i="9"/>
  <c r="I25"/>
  <c r="I21"/>
  <c r="I17"/>
  <c r="I13"/>
  <c r="E29" i="5"/>
  <c r="C29"/>
  <c r="I33" i="7"/>
  <c r="E33"/>
  <c r="I31"/>
  <c r="E31"/>
  <c r="I29"/>
  <c r="E29"/>
  <c r="I27"/>
  <c r="E27"/>
  <c r="I25"/>
  <c r="E25"/>
  <c r="I23"/>
  <c r="E23"/>
  <c r="I21"/>
  <c r="E21"/>
  <c r="I19"/>
  <c r="E19"/>
  <c r="I17"/>
  <c r="E17"/>
  <c r="I15"/>
  <c r="E15"/>
  <c r="E35" s="1"/>
  <c r="E33" i="6"/>
  <c r="J33" s="1"/>
  <c r="E31"/>
  <c r="J31" s="1"/>
  <c r="E29"/>
  <c r="J29" s="1"/>
  <c r="E27"/>
  <c r="J27" s="1"/>
  <c r="E25"/>
  <c r="J25" s="1"/>
  <c r="E23"/>
  <c r="E21"/>
  <c r="E19"/>
  <c r="E17"/>
  <c r="J17" s="1"/>
  <c r="O35" i="15" l="1"/>
  <c r="AI15"/>
  <c r="AI13"/>
  <c r="J15" i="7"/>
  <c r="J17"/>
  <c r="J19"/>
  <c r="J21"/>
  <c r="J23"/>
  <c r="J25"/>
  <c r="J27"/>
  <c r="J29"/>
  <c r="J31"/>
  <c r="C35"/>
  <c r="I35" i="6"/>
  <c r="B25" i="5"/>
  <c r="K37" i="6" s="1"/>
  <c r="K17" s="1"/>
  <c r="L17" s="1"/>
  <c r="P17" i="4" s="1"/>
  <c r="J13" i="6"/>
  <c r="E35"/>
  <c r="N13" i="4"/>
  <c r="N15"/>
  <c r="O15" s="1"/>
  <c r="N17"/>
  <c r="O17" s="1"/>
  <c r="N19"/>
  <c r="O19" s="1"/>
  <c r="N21"/>
  <c r="O21" s="1"/>
  <c r="N23"/>
  <c r="O23" s="1"/>
  <c r="N25"/>
  <c r="O25" s="1"/>
  <c r="N27"/>
  <c r="O27" s="1"/>
  <c r="N29"/>
  <c r="O29" s="1"/>
  <c r="N31"/>
  <c r="O31" s="1"/>
  <c r="O33"/>
  <c r="H13"/>
  <c r="H15"/>
  <c r="I15" s="1"/>
  <c r="H17"/>
  <c r="I17" s="1"/>
  <c r="H19"/>
  <c r="I19" s="1"/>
  <c r="H21"/>
  <c r="I21" s="1"/>
  <c r="W21" s="1"/>
  <c r="H23"/>
  <c r="I23" s="1"/>
  <c r="H25"/>
  <c r="I25" s="1"/>
  <c r="H27"/>
  <c r="I27" s="1"/>
  <c r="H29"/>
  <c r="I29" s="1"/>
  <c r="W29" s="1"/>
  <c r="H31"/>
  <c r="I31" s="1"/>
  <c r="I33"/>
  <c r="F13"/>
  <c r="E35"/>
  <c r="J15" i="6"/>
  <c r="L13" i="4"/>
  <c r="L35" s="1"/>
  <c r="K35"/>
  <c r="W27"/>
  <c r="J33" i="7"/>
  <c r="J35" s="1"/>
  <c r="I35"/>
  <c r="AI35" i="15" l="1"/>
  <c r="AG13"/>
  <c r="AD35"/>
  <c r="W19" i="4"/>
  <c r="W31"/>
  <c r="W23"/>
  <c r="W15"/>
  <c r="K27" i="6"/>
  <c r="L27" s="1"/>
  <c r="P27" i="4" s="1"/>
  <c r="K15" i="6"/>
  <c r="L15" s="1"/>
  <c r="K31"/>
  <c r="L31" s="1"/>
  <c r="P31" i="4" s="1"/>
  <c r="K23" i="6"/>
  <c r="L23" s="1"/>
  <c r="P23" i="4" s="1"/>
  <c r="K19" i="6"/>
  <c r="L19" s="1"/>
  <c r="P19" i="4" s="1"/>
  <c r="K33" i="6"/>
  <c r="L33" s="1"/>
  <c r="K29"/>
  <c r="L29" s="1"/>
  <c r="P29" i="4" s="1"/>
  <c r="K25" i="6"/>
  <c r="L25" s="1"/>
  <c r="P25" i="4" s="1"/>
  <c r="W25"/>
  <c r="W17"/>
  <c r="K21" i="6"/>
  <c r="L21" s="1"/>
  <c r="P21" i="4" s="1"/>
  <c r="B26" i="5"/>
  <c r="W33" i="4"/>
  <c r="H35"/>
  <c r="I13"/>
  <c r="I35" s="1"/>
  <c r="P15"/>
  <c r="F35"/>
  <c r="N35"/>
  <c r="O13"/>
  <c r="O35" s="1"/>
  <c r="K13" i="6"/>
  <c r="J35"/>
  <c r="AG35" i="15" l="1"/>
  <c r="AH35" s="1"/>
  <c r="AH13"/>
  <c r="P33" i="4"/>
  <c r="L13" i="6"/>
  <c r="K35"/>
  <c r="W13" i="4"/>
  <c r="W35" s="1"/>
  <c r="L35" i="6" l="1"/>
  <c r="P13" i="4"/>
  <c r="M13" i="6" l="1"/>
  <c r="M33"/>
  <c r="R13" i="4"/>
  <c r="N13" i="6"/>
  <c r="P35" i="4"/>
  <c r="M27" i="6"/>
  <c r="M19"/>
  <c r="M21"/>
  <c r="M29"/>
  <c r="M23"/>
  <c r="M31"/>
  <c r="M17"/>
  <c r="M25"/>
  <c r="M15"/>
  <c r="R15" i="4" l="1"/>
  <c r="U15" s="1"/>
  <c r="V15" s="1"/>
  <c r="N15" i="6"/>
  <c r="P15" s="1"/>
  <c r="Q15" s="1"/>
  <c r="R17" i="4"/>
  <c r="U17" s="1"/>
  <c r="V17" s="1"/>
  <c r="N17" i="6"/>
  <c r="P17" s="1"/>
  <c r="Q17" s="1"/>
  <c r="R23" i="4"/>
  <c r="U23" s="1"/>
  <c r="V23" s="1"/>
  <c r="N23" i="6"/>
  <c r="P23" s="1"/>
  <c r="Q23" s="1"/>
  <c r="R29" i="4"/>
  <c r="U29" s="1"/>
  <c r="V29" s="1"/>
  <c r="N29" i="6"/>
  <c r="P29" s="1"/>
  <c r="Q29" s="1"/>
  <c r="R19" i="4"/>
  <c r="U19" s="1"/>
  <c r="V19" s="1"/>
  <c r="N19" i="6"/>
  <c r="P19" s="1"/>
  <c r="Q19" s="1"/>
  <c r="U13" i="4"/>
  <c r="P13" i="6"/>
  <c r="M35"/>
  <c r="R25" i="4"/>
  <c r="U25" s="1"/>
  <c r="V25" s="1"/>
  <c r="N25" i="6"/>
  <c r="P25" s="1"/>
  <c r="Q25" s="1"/>
  <c r="R31" i="4"/>
  <c r="U31" s="1"/>
  <c r="V31" s="1"/>
  <c r="N31" i="6"/>
  <c r="P31" s="1"/>
  <c r="Q31" s="1"/>
  <c r="Q33" i="4"/>
  <c r="R33" s="1"/>
  <c r="U33" s="1"/>
  <c r="V33" s="1"/>
  <c r="N33" i="6"/>
  <c r="P33" s="1"/>
  <c r="Q33" s="1"/>
  <c r="R21" i="4"/>
  <c r="U21" s="1"/>
  <c r="V21" s="1"/>
  <c r="N21" i="6"/>
  <c r="P21" s="1"/>
  <c r="Q21" s="1"/>
  <c r="R27" i="4"/>
  <c r="U27" s="1"/>
  <c r="V27" s="1"/>
  <c r="N27" i="6"/>
  <c r="P27" s="1"/>
  <c r="Q27" s="1"/>
  <c r="Q35" i="4" l="1"/>
  <c r="Q13" i="6"/>
  <c r="P35"/>
  <c r="Q35" s="1"/>
  <c r="R35" i="4"/>
  <c r="V13"/>
  <c r="U35"/>
  <c r="V35" s="1"/>
  <c r="N35" i="6"/>
</calcChain>
</file>

<file path=xl/sharedStrings.xml><?xml version="1.0" encoding="utf-8"?>
<sst xmlns="http://schemas.openxmlformats.org/spreadsheetml/2006/main" count="515" uniqueCount="291">
  <si>
    <t/>
  </si>
  <si>
    <t xml:space="preserve"> </t>
  </si>
  <si>
    <t xml:space="preserve">    </t>
  </si>
  <si>
    <t xml:space="preserve">        35% Weight</t>
  </si>
  <si>
    <t xml:space="preserve">    60+ Population</t>
  </si>
  <si>
    <t>%</t>
  </si>
  <si>
    <t>*</t>
  </si>
  <si>
    <t>**</t>
  </si>
  <si>
    <t>1</t>
  </si>
  <si>
    <t>10</t>
  </si>
  <si>
    <t>11</t>
  </si>
  <si>
    <t>2</t>
  </si>
  <si>
    <t>25% Weight</t>
  </si>
  <si>
    <t>3</t>
  </si>
  <si>
    <t>4</t>
  </si>
  <si>
    <t>5</t>
  </si>
  <si>
    <t>50% Weight</t>
  </si>
  <si>
    <t>6</t>
  </si>
  <si>
    <t>60+</t>
  </si>
  <si>
    <t>60+ Low Income</t>
  </si>
  <si>
    <t>60+ Near Low Income</t>
  </si>
  <si>
    <t>7</t>
  </si>
  <si>
    <t>7/14/88</t>
  </si>
  <si>
    <t>8</t>
  </si>
  <si>
    <t>9</t>
  </si>
  <si>
    <t>Admin</t>
  </si>
  <si>
    <t>All Factors</t>
  </si>
  <si>
    <t>Alloca</t>
  </si>
  <si>
    <t>Allocated</t>
  </si>
  <si>
    <t>Allocation</t>
  </si>
  <si>
    <t>Amount</t>
  </si>
  <si>
    <t>Amount over base=</t>
  </si>
  <si>
    <t>Amount*</t>
  </si>
  <si>
    <t>Amt (incl GR)</t>
  </si>
  <si>
    <t>AREA AGENCY ADMINISTRATION ALLOCATION</t>
  </si>
  <si>
    <t>Base equals 7% of OAA services with a minimum of $230,000 per PSA.</t>
  </si>
  <si>
    <t>Base**</t>
  </si>
  <si>
    <t>Based on Admin</t>
  </si>
  <si>
    <t>Caregiver</t>
  </si>
  <si>
    <t>CCE Svcs.</t>
  </si>
  <si>
    <t>Congregate</t>
  </si>
  <si>
    <t>Contract</t>
  </si>
  <si>
    <t>Counties</t>
  </si>
  <si>
    <t>Diff</t>
  </si>
  <si>
    <t>Diff.</t>
  </si>
  <si>
    <t>Factor</t>
  </si>
  <si>
    <t>Factors</t>
  </si>
  <si>
    <t>Fed + GR</t>
  </si>
  <si>
    <t>GR</t>
  </si>
  <si>
    <t>GR Alloca Based</t>
  </si>
  <si>
    <t>Home Del</t>
  </si>
  <si>
    <t>In PSA</t>
  </si>
  <si>
    <t>Increase</t>
  </si>
  <si>
    <t>Meals</t>
  </si>
  <si>
    <t>Minority - 15% Weight</t>
  </si>
  <si>
    <t>Minority includes everyone but white non-Hispanics</t>
  </si>
  <si>
    <t>Nat'l Family</t>
  </si>
  <si>
    <t>Near low income includes all with incomes from 0% to 125% of low income level</t>
  </si>
  <si>
    <t>No. of</t>
  </si>
  <si>
    <t xml:space="preserve">Note:  No setaside in C1 ($130,256) for Seminole Indian Tribe beginning with 2000 grant award.  </t>
  </si>
  <si>
    <t>Number</t>
  </si>
  <si>
    <t>OAA</t>
  </si>
  <si>
    <t>oaa services</t>
  </si>
  <si>
    <t>OAA--Adm</t>
  </si>
  <si>
    <t>Over Base</t>
  </si>
  <si>
    <t>Per AAA</t>
  </si>
  <si>
    <t>PSA</t>
  </si>
  <si>
    <t>Services</t>
  </si>
  <si>
    <t xml:space="preserve">SOURCES:  </t>
  </si>
  <si>
    <t>Supportive</t>
  </si>
  <si>
    <t>Title C 1</t>
  </si>
  <si>
    <t>Title C 2</t>
  </si>
  <si>
    <t>Title III B</t>
  </si>
  <si>
    <t>Title IIIE</t>
  </si>
  <si>
    <t>Total</t>
  </si>
  <si>
    <t>% Increase</t>
  </si>
  <si>
    <t>(Decrease)</t>
  </si>
  <si>
    <t xml:space="preserve">Total </t>
  </si>
  <si>
    <t>From</t>
  </si>
  <si>
    <t>Formula</t>
  </si>
  <si>
    <t xml:space="preserve">By </t>
  </si>
  <si>
    <t>Title IIIB</t>
  </si>
  <si>
    <t>Title IIIC2</t>
  </si>
  <si>
    <t>Home Del'd</t>
  </si>
  <si>
    <t>Title III E</t>
  </si>
  <si>
    <t>Family</t>
  </si>
  <si>
    <t xml:space="preserve">          Base Funding is 2003 Service Funding Level</t>
  </si>
  <si>
    <t>Hold Harmless</t>
  </si>
  <si>
    <t>for 2003</t>
  </si>
  <si>
    <t xml:space="preserve">                          Services Allocated Based on Sevice Level of Funding for the 2003 Grant</t>
  </si>
  <si>
    <t>Title IIIC1</t>
  </si>
  <si>
    <t xml:space="preserve">          FLORIDA'S ALLOTMENTS UNDER THE OLDER AMERICANS ACT </t>
  </si>
  <si>
    <t>TOTAL</t>
  </si>
  <si>
    <t>III-B</t>
  </si>
  <si>
    <t>IIIC-1</t>
  </si>
  <si>
    <t>IIIC-2</t>
  </si>
  <si>
    <t>III-D</t>
  </si>
  <si>
    <t>III-E</t>
  </si>
  <si>
    <t>VII</t>
  </si>
  <si>
    <t>AMOUNT</t>
  </si>
  <si>
    <t xml:space="preserve">SUPPORTIVE </t>
  </si>
  <si>
    <t>CONGREGATE</t>
  </si>
  <si>
    <t>HOME DEL</t>
  </si>
  <si>
    <t>PREVENTIVE</t>
  </si>
  <si>
    <t xml:space="preserve">OMBUDSMAN </t>
  </si>
  <si>
    <t>ELDER ABUSE</t>
  </si>
  <si>
    <t xml:space="preserve">     ALLOTMENT/MODIFICATION</t>
  </si>
  <si>
    <t>III/VII</t>
  </si>
  <si>
    <t>SERVICES</t>
  </si>
  <si>
    <t>MEALS</t>
  </si>
  <si>
    <t>HEALTH</t>
  </si>
  <si>
    <t>CAREGIVER</t>
  </si>
  <si>
    <t>ACTIVITY</t>
  </si>
  <si>
    <t>PREVENTION</t>
  </si>
  <si>
    <t>Difference</t>
  </si>
  <si>
    <t xml:space="preserve">  Long Term Care Ombudsman Program</t>
  </si>
  <si>
    <t xml:space="preserve">  Elder Abuse Prevention</t>
  </si>
  <si>
    <t>AAA's - Balance of Grant Award</t>
  </si>
  <si>
    <t>AAA Administration (See assumption #3.)</t>
  </si>
  <si>
    <t>Elder Abuse Prevention</t>
  </si>
  <si>
    <t>Contract Number</t>
  </si>
  <si>
    <t>Contract Amount</t>
  </si>
  <si>
    <t>Assumptions for Above Allocation:</t>
  </si>
  <si>
    <t xml:space="preserve">  1.  Ombudsman Allocation from IIIB must be same as 2000 ($404,660)</t>
  </si>
  <si>
    <t xml:space="preserve">  3.  Area Agency Administration computed using 10% of the original Grant award balance for IIIB/IIIC1/IIIC2/IIIE (IIID Amt included in total)</t>
  </si>
  <si>
    <t>Total PSA Contracts</t>
  </si>
  <si>
    <t xml:space="preserve">Other Costs </t>
  </si>
  <si>
    <t>Total Elder Abuse Prevention</t>
  </si>
  <si>
    <t>65+ With 2 or more disabilities</t>
  </si>
  <si>
    <t>including self-care limita - 15% weight</t>
  </si>
  <si>
    <t>PSA  FORMULA SHARE</t>
  </si>
  <si>
    <t>Source: DOEA Projections based on U.S. Census 2000 and Office of Economic and Demographic Research Total Florida</t>
  </si>
  <si>
    <t>Population Projections 2030 by county as of Februray 2008 and 2007 projections by county, age, race, Hispanic</t>
  </si>
  <si>
    <t>Medication Management</t>
  </si>
  <si>
    <t>Health &amp; Wellness</t>
  </si>
  <si>
    <t>Florida's 2009 Allotments (Original Award)</t>
  </si>
  <si>
    <t>AAA Service Allocation - 2009</t>
  </si>
  <si>
    <t xml:space="preserve">  Balance Allocated Using 2009 Population Projections (2000 Census)</t>
  </si>
  <si>
    <t xml:space="preserve">      2009 OLDER AMERICANS ACT TITLE III</t>
  </si>
  <si>
    <t>Formula Factors Using 2009 Projected Population (Based on 2000 Census)</t>
  </si>
  <si>
    <t>PSA  Pop</t>
  </si>
  <si>
    <t xml:space="preserve">   2009 OLDER AMERICANS ACT ALLOCATION</t>
  </si>
  <si>
    <t>Total 2009</t>
  </si>
  <si>
    <t>GRANT AWARD: 2010 OLDER AMERICAN'S ACT ALLOCATION</t>
  </si>
  <si>
    <t>Grant Award 2010/03 (Title III) and 2010/03 (Title VII)</t>
  </si>
  <si>
    <t>Florida's 2010 Allotments (Original Award)</t>
  </si>
  <si>
    <t>State Agency Administration-5% 2010</t>
  </si>
  <si>
    <t>2010 FACTORS FOR OAA INTRASTATE FORMULA</t>
  </si>
  <si>
    <t xml:space="preserve"> from Planning and Evaluation Feb 2010</t>
  </si>
  <si>
    <t>County</t>
  </si>
  <si>
    <t>Population 60+ with Income Below the Poverty Level</t>
  </si>
  <si>
    <t>Minority Population 60+ with Income Below 125% of the Poverty Level</t>
  </si>
  <si>
    <t>Population 65+ with 2 or more types of disabilities including self-care disability</t>
  </si>
  <si>
    <t>FLORIDA</t>
  </si>
  <si>
    <t>Escambia</t>
  </si>
  <si>
    <t>Okaloosa</t>
  </si>
  <si>
    <t>Santa Rosa</t>
  </si>
  <si>
    <t>Walton</t>
  </si>
  <si>
    <t>PSA 1</t>
  </si>
  <si>
    <t>Bay</t>
  </si>
  <si>
    <t>Calhoun</t>
  </si>
  <si>
    <t>Franklin</t>
  </si>
  <si>
    <t>Gadsden</t>
  </si>
  <si>
    <t>Gulf</t>
  </si>
  <si>
    <t>Holmes</t>
  </si>
  <si>
    <t>Jackson</t>
  </si>
  <si>
    <t>Jefferson</t>
  </si>
  <si>
    <t>Leon</t>
  </si>
  <si>
    <t>Liberty</t>
  </si>
  <si>
    <t>Madison</t>
  </si>
  <si>
    <t>Taylor</t>
  </si>
  <si>
    <t>Wakulla</t>
  </si>
  <si>
    <t>Washington</t>
  </si>
  <si>
    <t>PSA2</t>
  </si>
  <si>
    <t>Alachua</t>
  </si>
  <si>
    <t>Bradford</t>
  </si>
  <si>
    <t>Citrus</t>
  </si>
  <si>
    <t>Columbia</t>
  </si>
  <si>
    <t>Dixie</t>
  </si>
  <si>
    <t>Gilchrist</t>
  </si>
  <si>
    <t>Hamilton</t>
  </si>
  <si>
    <t>Hernando</t>
  </si>
  <si>
    <t>Lafayette</t>
  </si>
  <si>
    <t>Lake</t>
  </si>
  <si>
    <t>Levy</t>
  </si>
  <si>
    <t>Marion</t>
  </si>
  <si>
    <t>Putnam</t>
  </si>
  <si>
    <t>Sumter</t>
  </si>
  <si>
    <t>Suwannee</t>
  </si>
  <si>
    <t>Union</t>
  </si>
  <si>
    <t>PSA 3</t>
  </si>
  <si>
    <t>Baker</t>
  </si>
  <si>
    <t>Clay</t>
  </si>
  <si>
    <t>Duval</t>
  </si>
  <si>
    <t>Flagler</t>
  </si>
  <si>
    <t>Nassau</t>
  </si>
  <si>
    <t>St. Johns</t>
  </si>
  <si>
    <t>Volusia</t>
  </si>
  <si>
    <t>PSA 4</t>
  </si>
  <si>
    <t>Pasco</t>
  </si>
  <si>
    <t>Pinellas</t>
  </si>
  <si>
    <t>PSA 5</t>
  </si>
  <si>
    <t>Hardee</t>
  </si>
  <si>
    <t>Highlands</t>
  </si>
  <si>
    <t>Hillsborough</t>
  </si>
  <si>
    <t>Manatee</t>
  </si>
  <si>
    <t>Polk</t>
  </si>
  <si>
    <t>PSA6</t>
  </si>
  <si>
    <t>Brevard</t>
  </si>
  <si>
    <t>Orange</t>
  </si>
  <si>
    <t>Osceola</t>
  </si>
  <si>
    <t>Seminole</t>
  </si>
  <si>
    <t>PSA7</t>
  </si>
  <si>
    <t>Charlotte</t>
  </si>
  <si>
    <t>Collier</t>
  </si>
  <si>
    <t>De Soto</t>
  </si>
  <si>
    <t>Glades</t>
  </si>
  <si>
    <t>Hendry</t>
  </si>
  <si>
    <t>Lee</t>
  </si>
  <si>
    <t>Sarasota</t>
  </si>
  <si>
    <t>PSA8</t>
  </si>
  <si>
    <t>Indian River</t>
  </si>
  <si>
    <t>Martin</t>
  </si>
  <si>
    <t>Okeechobee</t>
  </si>
  <si>
    <t>Palm Beach</t>
  </si>
  <si>
    <t>St. Lucie</t>
  </si>
  <si>
    <t>PSA9</t>
  </si>
  <si>
    <t>Broward</t>
  </si>
  <si>
    <t>PSA10</t>
  </si>
  <si>
    <t>Miami-Dade</t>
  </si>
  <si>
    <t>Monroe</t>
  </si>
  <si>
    <t>PSA11</t>
  </si>
  <si>
    <t>Rounded Figures</t>
  </si>
  <si>
    <t>AAA Service Allocation - 2010</t>
  </si>
  <si>
    <t>OAA 2010</t>
  </si>
  <si>
    <t>FY 09/10</t>
  </si>
  <si>
    <t>2010 Fed</t>
  </si>
  <si>
    <t>Allocation for CCE for 2009-2010</t>
  </si>
  <si>
    <t>Fed Amt. 2010</t>
  </si>
  <si>
    <t>Total 2010</t>
  </si>
  <si>
    <t>2010 Grant Award</t>
  </si>
  <si>
    <t xml:space="preserve">      Using 2010 Population Data (2000 Census)</t>
  </si>
  <si>
    <t>2010 Svcs</t>
  </si>
  <si>
    <t>Projected for 2010</t>
  </si>
  <si>
    <t>Projected for 2010  60+ Population35% Weight Number</t>
  </si>
  <si>
    <t>Projected for 2010 60+ Low Income  35% Weight Number</t>
  </si>
  <si>
    <t>Projected for 2010 60+ Near Low Income Minority - 15% Weight Number</t>
  </si>
  <si>
    <t>Projected for 2010 65+ With 2 or more disa including self-care limitation 15% weight Number</t>
  </si>
  <si>
    <t>Source: DOEA Projections based on U.S. Census 2000 and Office of Economic and Demographic Research Total Florida Population Projections 2030 by county as of Februray 2010.</t>
  </si>
  <si>
    <t>2010 Allocation</t>
  </si>
  <si>
    <t xml:space="preserve">                     2010 Older Americans Act Grant</t>
  </si>
  <si>
    <t xml:space="preserve">  4.  For IIID, Minimum amount for medication management is $407,431 according to AOA Award</t>
  </si>
  <si>
    <t>Original Award with Carry Forwards, Transfers Between Titles</t>
  </si>
  <si>
    <t>TITLE III B</t>
  </si>
  <si>
    <t>TITLE III  C I</t>
  </si>
  <si>
    <t>TITLE III  C II</t>
  </si>
  <si>
    <t>TITLE III  D</t>
  </si>
  <si>
    <t>TITLE III  E</t>
  </si>
  <si>
    <t>Admin Allocation</t>
  </si>
  <si>
    <t>Health &amp;</t>
  </si>
  <si>
    <t>Medication</t>
  </si>
  <si>
    <t>Transfers</t>
  </si>
  <si>
    <t>Wellness</t>
  </si>
  <si>
    <t>Management</t>
  </si>
  <si>
    <t>D1</t>
  </si>
  <si>
    <t>D2</t>
  </si>
  <si>
    <t>Title III D</t>
  </si>
  <si>
    <t>2008 Carry</t>
  </si>
  <si>
    <t xml:space="preserve">between </t>
  </si>
  <si>
    <t>Preventive</t>
  </si>
  <si>
    <t>Forwards</t>
  </si>
  <si>
    <t>Titles</t>
  </si>
  <si>
    <t>Health</t>
  </si>
  <si>
    <t>2009 Carry</t>
  </si>
  <si>
    <t>2010 Formula</t>
  </si>
  <si>
    <t>2010 OAA</t>
  </si>
  <si>
    <t xml:space="preserve">  5.  Contract Period:  January 1, 2010 through December 31, 2010</t>
  </si>
  <si>
    <t>Title VII, Contract Period 1/1/10-12/31/10</t>
  </si>
  <si>
    <t>Grant GEA10</t>
  </si>
  <si>
    <t>A7010</t>
  </si>
  <si>
    <t>B7010</t>
  </si>
  <si>
    <t>C7010</t>
  </si>
  <si>
    <t>D7010</t>
  </si>
  <si>
    <t>E7010</t>
  </si>
  <si>
    <t>F7010</t>
  </si>
  <si>
    <t>G7010</t>
  </si>
  <si>
    <t>H7010</t>
  </si>
  <si>
    <t>I7010</t>
  </si>
  <si>
    <t>J7010</t>
  </si>
  <si>
    <t>K7010</t>
  </si>
  <si>
    <t xml:space="preserve">  2.  State Administration computed using 5% of the original Grant award balance for total IIIB/IIIC1/IIIC2/IIID/IIIE ($88,400,324 x .05 = $4,420,016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</si>
</sst>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00000"/>
    <numFmt numFmtId="166" formatCode="0.0000000%"/>
    <numFmt numFmtId="167" formatCode="#,##0.0000"/>
    <numFmt numFmtId="168" formatCode="_(* #,##0_);_(* \(#,##0\);_(* &quot;-&quot;??_);_(@_)"/>
    <numFmt numFmtId="169" formatCode="&quot;$&quot;#,##0"/>
    <numFmt numFmtId="170" formatCode="\$#,##0_);&quot;($&quot;#,##0\)"/>
    <numFmt numFmtId="171" formatCode="\$#,##0.00_);&quot;($&quot;#,##0.00\)"/>
  </numFmts>
  <fonts count="23">
    <font>
      <sz val="12"/>
      <name val="Arial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1"/>
      <name val="돋움"/>
      <family val="2"/>
    </font>
    <font>
      <b/>
      <sz val="11"/>
      <name val="돋움"/>
      <family val="2"/>
    </font>
    <font>
      <b/>
      <sz val="11"/>
      <name val="돋움"/>
    </font>
    <font>
      <b/>
      <sz val="1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/>
    </fill>
    <fill>
      <patternFill patternType="solid">
        <fgColor indexed="43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 diagonalDown="1">
      <left/>
      <right style="thick">
        <color indexed="64"/>
      </right>
      <top/>
      <bottom style="medium">
        <color indexed="64"/>
      </bottom>
      <diagonal style="thin">
        <color indexed="9"/>
      </diagonal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" fillId="0" borderId="0"/>
    <xf numFmtId="0" fontId="4" fillId="0" borderId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452">
    <xf numFmtId="0" fontId="0" fillId="2" borderId="0" xfId="0" applyFill="1"/>
    <xf numFmtId="3" fontId="0" fillId="2" borderId="0" xfId="0" applyNumberFormat="1" applyFill="1"/>
    <xf numFmtId="5" fontId="0" fillId="2" borderId="0" xfId="0" applyNumberFormat="1" applyFill="1"/>
    <xf numFmtId="10" fontId="0" fillId="2" borderId="0" xfId="0" applyNumberFormat="1" applyFill="1"/>
    <xf numFmtId="22" fontId="0" fillId="2" borderId="0" xfId="0" applyNumberFormat="1" applyFill="1"/>
    <xf numFmtId="0" fontId="2" fillId="2" borderId="0" xfId="0" applyFont="1" applyFill="1"/>
    <xf numFmtId="0" fontId="3" fillId="2" borderId="0" xfId="0" applyFont="1" applyFill="1"/>
    <xf numFmtId="165" fontId="0" fillId="2" borderId="1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Alignment="1">
      <alignment horizontal="center"/>
    </xf>
    <xf numFmtId="3" fontId="0" fillId="2" borderId="1" xfId="0" applyNumberFormat="1" applyFill="1" applyBorder="1"/>
    <xf numFmtId="5" fontId="0" fillId="2" borderId="1" xfId="0" applyNumberFormat="1" applyFill="1" applyBorder="1"/>
    <xf numFmtId="5" fontId="0" fillId="2" borderId="4" xfId="0" applyNumberFormat="1" applyFill="1" applyBorder="1"/>
    <xf numFmtId="0" fontId="0" fillId="2" borderId="1" xfId="0" applyFill="1" applyBorder="1"/>
    <xf numFmtId="5" fontId="0" fillId="2" borderId="5" xfId="0" applyNumberFormat="1" applyFill="1" applyBorder="1"/>
    <xf numFmtId="5" fontId="0" fillId="2" borderId="6" xfId="0" applyNumberFormat="1" applyFill="1" applyBorder="1"/>
    <xf numFmtId="5" fontId="0" fillId="2" borderId="7" xfId="0" applyNumberFormat="1" applyFill="1" applyBorder="1"/>
    <xf numFmtId="5" fontId="0" fillId="2" borderId="8" xfId="0" applyNumberFormat="1" applyFill="1" applyBorder="1"/>
    <xf numFmtId="5" fontId="0" fillId="2" borderId="2" xfId="0" applyNumberFormat="1" applyFill="1" applyBorder="1"/>
    <xf numFmtId="5" fontId="0" fillId="2" borderId="3" xfId="0" applyNumberFormat="1" applyFill="1" applyBorder="1"/>
    <xf numFmtId="0" fontId="0" fillId="3" borderId="6" xfId="0" applyFill="1" applyBorder="1"/>
    <xf numFmtId="165" fontId="0" fillId="2" borderId="0" xfId="0" applyNumberFormat="1" applyFill="1"/>
    <xf numFmtId="0" fontId="0" fillId="3" borderId="7" xfId="0" applyFill="1" applyBorder="1"/>
    <xf numFmtId="3" fontId="0" fillId="2" borderId="9" xfId="0" applyNumberFormat="1" applyFill="1" applyBorder="1"/>
    <xf numFmtId="0" fontId="0" fillId="2" borderId="10" xfId="0" applyFill="1" applyBorder="1"/>
    <xf numFmtId="5" fontId="0" fillId="2" borderId="11" xfId="0" applyNumberFormat="1" applyFill="1" applyBorder="1"/>
    <xf numFmtId="0" fontId="0" fillId="2" borderId="9" xfId="0" applyFill="1" applyBorder="1"/>
    <xf numFmtId="5" fontId="0" fillId="2" borderId="9" xfId="0" applyNumberFormat="1" applyFill="1" applyBorder="1"/>
    <xf numFmtId="5" fontId="0" fillId="2" borderId="10" xfId="0" applyNumberFormat="1" applyFill="1" applyBorder="1"/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5" fontId="0" fillId="2" borderId="0" xfId="0" applyNumberFormat="1" applyFill="1" applyBorder="1"/>
    <xf numFmtId="3" fontId="0" fillId="2" borderId="0" xfId="0" applyNumberFormat="1" applyFill="1" applyBorder="1"/>
    <xf numFmtId="10" fontId="0" fillId="2" borderId="2" xfId="0" applyNumberFormat="1" applyFill="1" applyBorder="1"/>
    <xf numFmtId="15" fontId="0" fillId="2" borderId="0" xfId="0" quotePrefix="1" applyNumberFormat="1" applyFill="1"/>
    <xf numFmtId="10" fontId="0" fillId="2" borderId="4" xfId="0" applyNumberFormat="1" applyFill="1" applyBorder="1"/>
    <xf numFmtId="10" fontId="0" fillId="2" borderId="11" xfId="0" applyNumberFormat="1" applyFill="1" applyBorder="1"/>
    <xf numFmtId="0" fontId="8" fillId="2" borderId="0" xfId="0" applyFont="1" applyFill="1"/>
    <xf numFmtId="0" fontId="0" fillId="2" borderId="0" xfId="0" quotePrefix="1" applyFill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5" fontId="0" fillId="2" borderId="12" xfId="0" applyNumberFormat="1" applyFill="1" applyBorder="1"/>
    <xf numFmtId="5" fontId="0" fillId="2" borderId="13" xfId="0" applyNumberFormat="1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4" xfId="0" applyFill="1" applyBorder="1"/>
    <xf numFmtId="0" fontId="0" fillId="2" borderId="11" xfId="0" applyFill="1" applyBorder="1"/>
    <xf numFmtId="164" fontId="0" fillId="2" borderId="2" xfId="0" applyNumberFormat="1" applyFill="1" applyBorder="1"/>
    <xf numFmtId="0" fontId="0" fillId="2" borderId="15" xfId="0" applyFill="1" applyBorder="1"/>
    <xf numFmtId="0" fontId="0" fillId="2" borderId="16" xfId="0" applyFill="1" applyBorder="1"/>
    <xf numFmtId="164" fontId="0" fillId="2" borderId="17" xfId="0" applyNumberFormat="1" applyFill="1" applyBorder="1"/>
    <xf numFmtId="5" fontId="0" fillId="2" borderId="18" xfId="0" applyNumberFormat="1" applyFill="1" applyBorder="1"/>
    <xf numFmtId="5" fontId="0" fillId="2" borderId="17" xfId="0" applyNumberFormat="1" applyFill="1" applyBorder="1"/>
    <xf numFmtId="5" fontId="0" fillId="2" borderId="15" xfId="0" applyNumberFormat="1" applyFill="1" applyBorder="1"/>
    <xf numFmtId="5" fontId="0" fillId="2" borderId="16" xfId="0" applyNumberFormat="1" applyFill="1" applyBorder="1"/>
    <xf numFmtId="10" fontId="0" fillId="2" borderId="17" xfId="0" applyNumberFormat="1" applyFill="1" applyBorder="1"/>
    <xf numFmtId="0" fontId="0" fillId="2" borderId="13" xfId="0" applyFill="1" applyBorder="1"/>
    <xf numFmtId="5" fontId="0" fillId="2" borderId="19" xfId="0" applyNumberFormat="1" applyFill="1" applyBorder="1"/>
    <xf numFmtId="5" fontId="0" fillId="2" borderId="14" xfId="0" applyNumberFormat="1" applyFill="1" applyBorder="1"/>
    <xf numFmtId="164" fontId="0" fillId="2" borderId="3" xfId="0" applyNumberFormat="1" applyFill="1" applyBorder="1"/>
    <xf numFmtId="10" fontId="0" fillId="2" borderId="3" xfId="0" applyNumberForma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3" borderId="12" xfId="0" applyFill="1" applyBorder="1"/>
    <xf numFmtId="0" fontId="4" fillId="2" borderId="12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2" borderId="10" xfId="0" quotePrefix="1" applyFont="1" applyFill="1" applyBorder="1" applyAlignment="1">
      <alignment horizontal="center"/>
    </xf>
    <xf numFmtId="5" fontId="8" fillId="2" borderId="20" xfId="0" applyNumberFormat="1" applyFont="1" applyFill="1" applyBorder="1" applyAlignment="1">
      <alignment horizontal="center"/>
    </xf>
    <xf numFmtId="5" fontId="8" fillId="4" borderId="17" xfId="0" applyNumberFormat="1" applyFont="1" applyFill="1" applyBorder="1"/>
    <xf numFmtId="5" fontId="8" fillId="4" borderId="13" xfId="0" applyNumberFormat="1" applyFont="1" applyFill="1" applyBorder="1"/>
    <xf numFmtId="5" fontId="8" fillId="4" borderId="3" xfId="0" applyNumberFormat="1" applyFont="1" applyFill="1" applyBorder="1"/>
    <xf numFmtId="5" fontId="8" fillId="4" borderId="6" xfId="0" applyNumberFormat="1" applyFont="1" applyFill="1" applyBorder="1"/>
    <xf numFmtId="5" fontId="8" fillId="4" borderId="2" xfId="0" applyNumberFormat="1" applyFont="1" applyFill="1" applyBorder="1"/>
    <xf numFmtId="5" fontId="8" fillId="4" borderId="12" xfId="0" applyNumberFormat="1" applyFont="1" applyFill="1" applyBorder="1"/>
    <xf numFmtId="5" fontId="8" fillId="4" borderId="7" xfId="0" applyNumberFormat="1" applyFont="1" applyFill="1" applyBorder="1"/>
    <xf numFmtId="5" fontId="8" fillId="4" borderId="11" xfId="0" applyNumberFormat="1" applyFont="1" applyFill="1" applyBorder="1"/>
    <xf numFmtId="5" fontId="8" fillId="4" borderId="14" xfId="0" applyNumberFormat="1" applyFont="1" applyFill="1" applyBorder="1"/>
    <xf numFmtId="5" fontId="8" fillId="4" borderId="10" xfId="0" applyNumberFormat="1" applyFont="1" applyFill="1" applyBorder="1"/>
    <xf numFmtId="5" fontId="8" fillId="5" borderId="17" xfId="0" applyNumberFormat="1" applyFont="1" applyFill="1" applyBorder="1"/>
    <xf numFmtId="5" fontId="8" fillId="5" borderId="14" xfId="0" applyNumberFormat="1" applyFont="1" applyFill="1" applyBorder="1"/>
    <xf numFmtId="5" fontId="8" fillId="5" borderId="10" xfId="0" applyNumberFormat="1" applyFont="1" applyFill="1" applyBorder="1"/>
    <xf numFmtId="5" fontId="8" fillId="5" borderId="2" xfId="0" applyNumberFormat="1" applyFont="1" applyFill="1" applyBorder="1"/>
    <xf numFmtId="5" fontId="8" fillId="5" borderId="13" xfId="0" applyNumberFormat="1" applyFont="1" applyFill="1" applyBorder="1"/>
    <xf numFmtId="5" fontId="8" fillId="5" borderId="3" xfId="0" applyNumberFormat="1" applyFont="1" applyFill="1" applyBorder="1"/>
    <xf numFmtId="5" fontId="8" fillId="4" borderId="16" xfId="0" applyNumberFormat="1" applyFont="1" applyFill="1" applyBorder="1"/>
    <xf numFmtId="5" fontId="8" fillId="4" borderId="0" xfId="0" applyNumberFormat="1" applyFont="1" applyFill="1" applyBorder="1"/>
    <xf numFmtId="5" fontId="8" fillId="4" borderId="19" xfId="0" applyNumberFormat="1" applyFont="1" applyFill="1" applyBorder="1"/>
    <xf numFmtId="0" fontId="6" fillId="0" borderId="0" xfId="2" applyFont="1"/>
    <xf numFmtId="0" fontId="9" fillId="0" borderId="0" xfId="2" applyFont="1"/>
    <xf numFmtId="0" fontId="8" fillId="0" borderId="15" xfId="2" applyFont="1" applyBorder="1"/>
    <xf numFmtId="0" fontId="6" fillId="0" borderId="16" xfId="2" applyFont="1" applyBorder="1"/>
    <xf numFmtId="0" fontId="8" fillId="0" borderId="7" xfId="2" applyFont="1" applyBorder="1"/>
    <xf numFmtId="0" fontId="6" fillId="0" borderId="10" xfId="2" applyFont="1" applyBorder="1"/>
    <xf numFmtId="5" fontId="6" fillId="0" borderId="0" xfId="2" applyNumberFormat="1" applyFont="1"/>
    <xf numFmtId="166" fontId="6" fillId="0" borderId="0" xfId="2" applyNumberFormat="1" applyFont="1"/>
    <xf numFmtId="0" fontId="9" fillId="0" borderId="0" xfId="2" applyFont="1" applyBorder="1"/>
    <xf numFmtId="0" fontId="6" fillId="0" borderId="12" xfId="2" applyFont="1" applyBorder="1"/>
    <xf numFmtId="0" fontId="6" fillId="0" borderId="13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6" xfId="2" applyFont="1" applyBorder="1"/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" xfId="2" applyFont="1" applyBorder="1"/>
    <xf numFmtId="0" fontId="6" fillId="0" borderId="0" xfId="2" applyFont="1" applyBorder="1"/>
    <xf numFmtId="0" fontId="11" fillId="0" borderId="6" xfId="2" applyFont="1" applyBorder="1"/>
    <xf numFmtId="3" fontId="6" fillId="0" borderId="2" xfId="2" applyNumberFormat="1" applyFont="1" applyBorder="1"/>
    <xf numFmtId="3" fontId="6" fillId="0" borderId="0" xfId="2" applyNumberFormat="1" applyFont="1" applyBorder="1"/>
    <xf numFmtId="3" fontId="11" fillId="0" borderId="2" xfId="2" applyNumberFormat="1" applyFont="1" applyBorder="1"/>
    <xf numFmtId="3" fontId="11" fillId="0" borderId="0" xfId="2" applyNumberFormat="1" applyFont="1" applyBorder="1"/>
    <xf numFmtId="3" fontId="6" fillId="0" borderId="17" xfId="2" applyNumberFormat="1" applyFont="1" applyBorder="1"/>
    <xf numFmtId="3" fontId="6" fillId="0" borderId="18" xfId="2" applyNumberFormat="1" applyFont="1" applyBorder="1"/>
    <xf numFmtId="3" fontId="8" fillId="0" borderId="0" xfId="2" applyNumberFormat="1" applyFont="1" applyBorder="1"/>
    <xf numFmtId="3" fontId="11" fillId="0" borderId="8" xfId="2" applyNumberFormat="1" applyFont="1" applyBorder="1"/>
    <xf numFmtId="3" fontId="11" fillId="0" borderId="1" xfId="2" applyNumberFormat="1" applyFont="1" applyBorder="1"/>
    <xf numFmtId="3" fontId="6" fillId="6" borderId="17" xfId="2" applyNumberFormat="1" applyFont="1" applyFill="1" applyBorder="1"/>
    <xf numFmtId="3" fontId="6" fillId="4" borderId="0" xfId="2" applyNumberFormat="1" applyFont="1" applyFill="1" applyBorder="1"/>
    <xf numFmtId="0" fontId="11" fillId="0" borderId="7" xfId="2" applyFont="1" applyBorder="1"/>
    <xf numFmtId="3" fontId="11" fillId="4" borderId="3" xfId="2" applyNumberFormat="1" applyFont="1" applyFill="1" applyBorder="1"/>
    <xf numFmtId="3" fontId="11" fillId="4" borderId="9" xfId="2" applyNumberFormat="1" applyFont="1" applyFill="1" applyBorder="1"/>
    <xf numFmtId="3" fontId="6" fillId="0" borderId="0" xfId="2" applyNumberFormat="1" applyFont="1"/>
    <xf numFmtId="168" fontId="6" fillId="0" borderId="12" xfId="1" applyNumberFormat="1" applyFont="1" applyBorder="1"/>
    <xf numFmtId="168" fontId="6" fillId="0" borderId="19" xfId="1" applyNumberFormat="1" applyFont="1" applyBorder="1"/>
    <xf numFmtId="168" fontId="6" fillId="0" borderId="14" xfId="1" applyNumberFormat="1" applyFont="1" applyBorder="1"/>
    <xf numFmtId="168" fontId="6" fillId="0" borderId="0" xfId="1" applyNumberFormat="1" applyFont="1"/>
    <xf numFmtId="0" fontId="6" fillId="0" borderId="7" xfId="2" applyFont="1" applyBorder="1"/>
    <xf numFmtId="0" fontId="6" fillId="0" borderId="9" xfId="2" applyNumberFormat="1" applyFont="1" applyBorder="1" applyAlignment="1">
      <alignment horizontal="center"/>
    </xf>
    <xf numFmtId="168" fontId="6" fillId="0" borderId="9" xfId="2" applyNumberFormat="1" applyFont="1" applyBorder="1" applyAlignment="1">
      <alignment horizontal="center"/>
    </xf>
    <xf numFmtId="0" fontId="6" fillId="0" borderId="9" xfId="2" applyFont="1" applyBorder="1"/>
    <xf numFmtId="3" fontId="4" fillId="0" borderId="0" xfId="2" applyNumberFormat="1" applyBorder="1"/>
    <xf numFmtId="3" fontId="8" fillId="0" borderId="6" xfId="2" applyNumberFormat="1" applyFont="1" applyFill="1" applyBorder="1"/>
    <xf numFmtId="3" fontId="4" fillId="0" borderId="11" xfId="2" applyNumberFormat="1" applyBorder="1"/>
    <xf numFmtId="3" fontId="12" fillId="0" borderId="0" xfId="2" applyNumberFormat="1" applyFont="1" applyBorder="1" applyAlignment="1">
      <alignment horizontal="center"/>
    </xf>
    <xf numFmtId="3" fontId="6" fillId="0" borderId="0" xfId="2" applyNumberFormat="1" applyFont="1" applyBorder="1" applyAlignment="1">
      <alignment horizontal="center"/>
    </xf>
    <xf numFmtId="3" fontId="4" fillId="0" borderId="9" xfId="2" applyNumberFormat="1" applyFill="1" applyBorder="1"/>
    <xf numFmtId="3" fontId="4" fillId="0" borderId="6" xfId="2" applyNumberFormat="1" applyBorder="1" applyAlignment="1">
      <alignment horizontal="center"/>
    </xf>
    <xf numFmtId="3" fontId="4" fillId="0" borderId="0" xfId="2" applyNumberFormat="1" applyBorder="1" applyAlignment="1">
      <alignment horizontal="center"/>
    </xf>
    <xf numFmtId="3" fontId="4" fillId="0" borderId="11" xfId="2" applyNumberFormat="1" applyBorder="1" applyAlignment="1">
      <alignment horizontal="center"/>
    </xf>
    <xf numFmtId="39" fontId="6" fillId="0" borderId="0" xfId="2" applyNumberFormat="1" applyFont="1" applyBorder="1"/>
    <xf numFmtId="0" fontId="13" fillId="0" borderId="0" xfId="2" applyFont="1"/>
    <xf numFmtId="3" fontId="4" fillId="0" borderId="0" xfId="2" applyNumberFormat="1" applyFill="1" applyBorder="1" applyAlignment="1">
      <alignment horizontal="center"/>
    </xf>
    <xf numFmtId="3" fontId="4" fillId="0" borderId="7" xfId="2" applyNumberFormat="1" applyBorder="1" applyAlignment="1">
      <alignment horizontal="center"/>
    </xf>
    <xf numFmtId="3" fontId="4" fillId="0" borderId="9" xfId="2" applyNumberFormat="1" applyBorder="1" applyAlignment="1">
      <alignment horizontal="center"/>
    </xf>
    <xf numFmtId="3" fontId="6" fillId="0" borderId="0" xfId="2" applyNumberFormat="1" applyFont="1" applyBorder="1" applyAlignment="1">
      <alignment horizontal="left"/>
    </xf>
    <xf numFmtId="3" fontId="6" fillId="0" borderId="0" xfId="2" applyNumberFormat="1" applyFont="1" applyBorder="1" applyAlignment="1">
      <alignment horizontal="right"/>
    </xf>
    <xf numFmtId="3" fontId="4" fillId="0" borderId="12" xfId="2" applyNumberFormat="1" applyBorder="1"/>
    <xf numFmtId="3" fontId="4" fillId="0" borderId="19" xfId="2" applyNumberFormat="1" applyBorder="1"/>
    <xf numFmtId="3" fontId="4" fillId="0" borderId="14" xfId="2" applyNumberFormat="1" applyBorder="1"/>
    <xf numFmtId="3" fontId="4" fillId="0" borderId="6" xfId="2" applyNumberFormat="1" applyBorder="1" applyAlignment="1">
      <alignment horizontal="left"/>
    </xf>
    <xf numFmtId="169" fontId="4" fillId="0" borderId="11" xfId="2" applyNumberFormat="1" applyBorder="1"/>
    <xf numFmtId="0" fontId="8" fillId="0" borderId="0" xfId="2" applyFont="1" applyBorder="1"/>
    <xf numFmtId="169" fontId="6" fillId="0" borderId="11" xfId="2" applyNumberFormat="1" applyFont="1" applyBorder="1" applyAlignment="1">
      <alignment horizontal="right"/>
    </xf>
    <xf numFmtId="0" fontId="4" fillId="2" borderId="0" xfId="2" applyFill="1" applyBorder="1"/>
    <xf numFmtId="3" fontId="6" fillId="0" borderId="10" xfId="2" applyNumberFormat="1" applyFont="1" applyBorder="1"/>
    <xf numFmtId="0" fontId="4" fillId="2" borderId="0" xfId="2" applyFill="1"/>
    <xf numFmtId="0" fontId="2" fillId="2" borderId="0" xfId="2" applyFont="1" applyFill="1"/>
    <xf numFmtId="0" fontId="4" fillId="0" borderId="0" xfId="2"/>
    <xf numFmtId="0" fontId="3" fillId="2" borderId="0" xfId="2" applyFont="1" applyFill="1"/>
    <xf numFmtId="0" fontId="8" fillId="2" borderId="0" xfId="2" applyFont="1" applyFill="1"/>
    <xf numFmtId="0" fontId="3" fillId="2" borderId="0" xfId="2" applyFont="1" applyFill="1" applyBorder="1"/>
    <xf numFmtId="0" fontId="4" fillId="2" borderId="23" xfId="2" applyFill="1" applyBorder="1"/>
    <xf numFmtId="0" fontId="4" fillId="2" borderId="23" xfId="2" applyFill="1" applyBorder="1" applyAlignment="1">
      <alignment horizontal="center"/>
    </xf>
    <xf numFmtId="0" fontId="4" fillId="2" borderId="24" xfId="2" applyFill="1" applyBorder="1"/>
    <xf numFmtId="0" fontId="4" fillId="2" borderId="24" xfId="2" applyFill="1" applyBorder="1" applyAlignment="1">
      <alignment horizontal="center"/>
    </xf>
    <xf numFmtId="0" fontId="4" fillId="2" borderId="25" xfId="2" applyFill="1" applyBorder="1" applyAlignment="1">
      <alignment horizontal="center"/>
    </xf>
    <xf numFmtId="0" fontId="4" fillId="2" borderId="26" xfId="2" applyFill="1" applyBorder="1" applyAlignment="1">
      <alignment horizontal="center"/>
    </xf>
    <xf numFmtId="0" fontId="4" fillId="2" borderId="27" xfId="2" applyFill="1" applyBorder="1"/>
    <xf numFmtId="0" fontId="4" fillId="2" borderId="28" xfId="2" applyFill="1" applyBorder="1"/>
    <xf numFmtId="0" fontId="4" fillId="2" borderId="29" xfId="2" applyFill="1" applyBorder="1"/>
    <xf numFmtId="0" fontId="4" fillId="2" borderId="27" xfId="2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4" fillId="2" borderId="20" xfId="2" applyFill="1" applyBorder="1"/>
    <xf numFmtId="3" fontId="4" fillId="2" borderId="20" xfId="2" applyNumberFormat="1" applyFill="1" applyBorder="1"/>
    <xf numFmtId="164" fontId="4" fillId="2" borderId="20" xfId="2" applyNumberFormat="1" applyFill="1" applyBorder="1"/>
    <xf numFmtId="5" fontId="4" fillId="2" borderId="20" xfId="2" applyNumberFormat="1" applyFill="1" applyBorder="1"/>
    <xf numFmtId="0" fontId="4" fillId="0" borderId="20" xfId="2" applyBorder="1"/>
    <xf numFmtId="0" fontId="4" fillId="2" borderId="9" xfId="2" applyFill="1" applyBorder="1"/>
    <xf numFmtId="5" fontId="4" fillId="2" borderId="7" xfId="2" applyNumberFormat="1" applyFill="1" applyBorder="1"/>
    <xf numFmtId="5" fontId="4" fillId="2" borderId="3" xfId="2" applyNumberFormat="1" applyFill="1" applyBorder="1"/>
    <xf numFmtId="5" fontId="4" fillId="2" borderId="10" xfId="2" applyNumberFormat="1" applyFill="1" applyBorder="1"/>
    <xf numFmtId="0" fontId="4" fillId="2" borderId="3" xfId="2" applyFill="1" applyBorder="1"/>
    <xf numFmtId="164" fontId="4" fillId="2" borderId="0" xfId="2" applyNumberFormat="1" applyFill="1"/>
    <xf numFmtId="5" fontId="4" fillId="2" borderId="0" xfId="2" applyNumberFormat="1" applyFill="1"/>
    <xf numFmtId="0" fontId="4" fillId="2" borderId="0" xfId="2" quotePrefix="1" applyFill="1"/>
    <xf numFmtId="0" fontId="6" fillId="0" borderId="0" xfId="2" applyFont="1" applyFill="1"/>
    <xf numFmtId="0" fontId="6" fillId="0" borderId="0" xfId="2" applyFont="1" applyFill="1" applyAlignment="1">
      <alignment horizontal="center"/>
    </xf>
    <xf numFmtId="3" fontId="11" fillId="0" borderId="0" xfId="2" applyNumberFormat="1" applyFont="1" applyFill="1"/>
    <xf numFmtId="3" fontId="6" fillId="0" borderId="0" xfId="2" applyNumberFormat="1" applyFont="1" applyFill="1"/>
    <xf numFmtId="0" fontId="11" fillId="0" borderId="30" xfId="2" applyFont="1" applyFill="1" applyBorder="1" applyAlignment="1">
      <alignment horizontal="center"/>
    </xf>
    <xf numFmtId="3" fontId="11" fillId="0" borderId="31" xfId="2" applyNumberFormat="1" applyFont="1" applyFill="1" applyBorder="1" applyAlignment="1">
      <alignment horizontal="center"/>
    </xf>
    <xf numFmtId="10" fontId="11" fillId="0" borderId="32" xfId="3" applyNumberFormat="1" applyFont="1" applyFill="1" applyBorder="1" applyAlignment="1">
      <alignment horizontal="center"/>
    </xf>
    <xf numFmtId="3" fontId="11" fillId="0" borderId="33" xfId="2" applyNumberFormat="1" applyFont="1" applyFill="1" applyBorder="1" applyAlignment="1">
      <alignment horizontal="center"/>
    </xf>
    <xf numFmtId="3" fontId="11" fillId="0" borderId="34" xfId="2" applyNumberFormat="1" applyFont="1" applyFill="1" applyBorder="1" applyAlignment="1">
      <alignment horizontal="center"/>
    </xf>
    <xf numFmtId="3" fontId="11" fillId="0" borderId="35" xfId="2" applyNumberFormat="1" applyFont="1" applyFill="1" applyBorder="1" applyAlignment="1">
      <alignment horizontal="center"/>
    </xf>
    <xf numFmtId="3" fontId="11" fillId="0" borderId="36" xfId="2" applyNumberFormat="1" applyFont="1" applyFill="1" applyBorder="1" applyAlignment="1">
      <alignment horizontal="center"/>
    </xf>
    <xf numFmtId="0" fontId="11" fillId="0" borderId="37" xfId="2" applyFont="1" applyFill="1" applyBorder="1" applyAlignment="1">
      <alignment horizontal="center"/>
    </xf>
    <xf numFmtId="3" fontId="11" fillId="0" borderId="38" xfId="2" applyNumberFormat="1" applyFont="1" applyFill="1" applyBorder="1" applyAlignment="1">
      <alignment horizontal="center"/>
    </xf>
    <xf numFmtId="0" fontId="4" fillId="2" borderId="0" xfId="2" applyFont="1" applyFill="1"/>
    <xf numFmtId="0" fontId="0" fillId="0" borderId="20" xfId="0" applyBorder="1"/>
    <xf numFmtId="0" fontId="0" fillId="2" borderId="20" xfId="0" applyFill="1" applyBorder="1"/>
    <xf numFmtId="168" fontId="0" fillId="2" borderId="20" xfId="1" applyNumberFormat="1" applyFont="1" applyFill="1" applyBorder="1"/>
    <xf numFmtId="0" fontId="0" fillId="2" borderId="39" xfId="0" applyFill="1" applyBorder="1"/>
    <xf numFmtId="168" fontId="6" fillId="0" borderId="0" xfId="1" applyNumberFormat="1" applyFont="1" applyBorder="1"/>
    <xf numFmtId="168" fontId="11" fillId="0" borderId="0" xfId="1" applyNumberFormat="1" applyFont="1" applyBorder="1"/>
    <xf numFmtId="0" fontId="11" fillId="0" borderId="0" xfId="2" applyFont="1"/>
    <xf numFmtId="168" fontId="6" fillId="0" borderId="2" xfId="1" applyNumberFormat="1" applyFont="1" applyBorder="1"/>
    <xf numFmtId="0" fontId="6" fillId="2" borderId="20" xfId="2" applyFont="1" applyFill="1" applyBorder="1" applyAlignment="1">
      <alignment horizontal="right"/>
    </xf>
    <xf numFmtId="3" fontId="6" fillId="0" borderId="20" xfId="2" applyNumberFormat="1" applyFont="1" applyFill="1" applyBorder="1" applyAlignment="1">
      <alignment horizontal="right"/>
    </xf>
    <xf numFmtId="167" fontId="11" fillId="0" borderId="31" xfId="2" applyNumberFormat="1" applyFont="1" applyFill="1" applyBorder="1" applyAlignment="1">
      <alignment horizontal="center"/>
    </xf>
    <xf numFmtId="3" fontId="11" fillId="7" borderId="0" xfId="2" applyNumberFormat="1" applyFont="1" applyFill="1" applyBorder="1" applyAlignment="1">
      <alignment horizontal="center"/>
    </xf>
    <xf numFmtId="3" fontId="4" fillId="0" borderId="10" xfId="2" applyNumberFormat="1" applyFont="1" applyFill="1" applyBorder="1"/>
    <xf numFmtId="43" fontId="6" fillId="0" borderId="0" xfId="1" applyFont="1"/>
    <xf numFmtId="0" fontId="4" fillId="0" borderId="7" xfId="2" applyFont="1" applyFill="1" applyBorder="1"/>
    <xf numFmtId="0" fontId="14" fillId="0" borderId="0" xfId="4" applyFill="1"/>
    <xf numFmtId="0" fontId="14" fillId="0" borderId="0" xfId="4"/>
    <xf numFmtId="0" fontId="17" fillId="8" borderId="40" xfId="4" applyFont="1" applyFill="1" applyBorder="1"/>
    <xf numFmtId="0" fontId="17" fillId="8" borderId="23" xfId="4" applyFont="1" applyFill="1" applyBorder="1"/>
    <xf numFmtId="0" fontId="17" fillId="8" borderId="23" xfId="4" applyFont="1" applyFill="1" applyBorder="1" applyAlignment="1">
      <alignment horizontal="center"/>
    </xf>
    <xf numFmtId="168" fontId="17" fillId="8" borderId="23" xfId="5" applyNumberFormat="1" applyFont="1" applyFill="1" applyBorder="1" applyAlignment="1">
      <alignment horizontal="center" wrapText="1"/>
    </xf>
    <xf numFmtId="0" fontId="17" fillId="8" borderId="23" xfId="4" applyFont="1" applyFill="1" applyBorder="1" applyAlignment="1">
      <alignment horizontal="center" wrapText="1"/>
    </xf>
    <xf numFmtId="0" fontId="18" fillId="0" borderId="0" xfId="4" applyFont="1" applyFill="1"/>
    <xf numFmtId="0" fontId="18" fillId="0" borderId="0" xfId="4" applyFont="1"/>
    <xf numFmtId="0" fontId="17" fillId="9" borderId="15" xfId="4" applyFont="1" applyFill="1" applyBorder="1"/>
    <xf numFmtId="0" fontId="17" fillId="9" borderId="18" xfId="4" applyFont="1" applyFill="1" applyBorder="1"/>
    <xf numFmtId="168" fontId="17" fillId="9" borderId="18" xfId="4" applyNumberFormat="1" applyFont="1" applyFill="1" applyBorder="1" applyAlignment="1">
      <alignment horizontal="center"/>
    </xf>
    <xf numFmtId="0" fontId="19" fillId="10" borderId="45" xfId="6" applyFont="1" applyFill="1" applyBorder="1"/>
    <xf numFmtId="0" fontId="19" fillId="11" borderId="1" xfId="4" applyFont="1" applyFill="1" applyBorder="1"/>
    <xf numFmtId="168" fontId="19" fillId="0" borderId="46" xfId="5" applyNumberFormat="1" applyFont="1" applyBorder="1"/>
    <xf numFmtId="168" fontId="19" fillId="0" borderId="47" xfId="4" applyNumberFormat="1" applyFont="1" applyBorder="1"/>
    <xf numFmtId="168" fontId="19" fillId="0" borderId="48" xfId="4" applyNumberFormat="1" applyFont="1" applyBorder="1"/>
    <xf numFmtId="168" fontId="19" fillId="0" borderId="49" xfId="5" applyNumberFormat="1" applyFont="1" applyBorder="1"/>
    <xf numFmtId="0" fontId="19" fillId="10" borderId="50" xfId="6" applyFont="1" applyFill="1" applyBorder="1"/>
    <xf numFmtId="0" fontId="19" fillId="11" borderId="51" xfId="4" applyFont="1" applyFill="1" applyBorder="1"/>
    <xf numFmtId="168" fontId="19" fillId="0" borderId="52" xfId="5" applyNumberFormat="1" applyFont="1" applyBorder="1"/>
    <xf numFmtId="168" fontId="19" fillId="0" borderId="53" xfId="5" applyNumberFormat="1" applyFont="1" applyBorder="1"/>
    <xf numFmtId="168" fontId="19" fillId="0" borderId="48" xfId="4" applyNumberFormat="1" applyFont="1" applyFill="1" applyBorder="1"/>
    <xf numFmtId="0" fontId="19" fillId="10" borderId="54" xfId="6" applyFont="1" applyFill="1" applyBorder="1"/>
    <xf numFmtId="0" fontId="19" fillId="11" borderId="55" xfId="4" applyFont="1" applyFill="1" applyBorder="1"/>
    <xf numFmtId="168" fontId="19" fillId="0" borderId="56" xfId="5" applyNumberFormat="1" applyFont="1" applyBorder="1"/>
    <xf numFmtId="168" fontId="19" fillId="0" borderId="57" xfId="4" applyNumberFormat="1" applyFont="1" applyBorder="1"/>
    <xf numFmtId="168" fontId="19" fillId="0" borderId="58" xfId="5" applyNumberFormat="1" applyFont="1" applyBorder="1"/>
    <xf numFmtId="0" fontId="17" fillId="9" borderId="15" xfId="7" applyFont="1" applyFill="1" applyBorder="1" applyAlignment="1">
      <alignment horizontal="center" wrapText="1"/>
    </xf>
    <xf numFmtId="168" fontId="17" fillId="9" borderId="59" xfId="5" applyNumberFormat="1" applyFont="1" applyFill="1" applyBorder="1"/>
    <xf numFmtId="168" fontId="17" fillId="9" borderId="16" xfId="5" applyNumberFormat="1" applyFont="1" applyFill="1" applyBorder="1"/>
    <xf numFmtId="0" fontId="17" fillId="9" borderId="60" xfId="6" applyFont="1" applyFill="1" applyBorder="1" applyAlignment="1">
      <alignment horizontal="center"/>
    </xf>
    <xf numFmtId="0" fontId="19" fillId="10" borderId="61" xfId="6" applyFont="1" applyFill="1" applyBorder="1"/>
    <xf numFmtId="0" fontId="19" fillId="11" borderId="0" xfId="4" applyFont="1" applyFill="1" applyBorder="1"/>
    <xf numFmtId="168" fontId="19" fillId="0" borderId="62" xfId="5" applyNumberFormat="1" applyFont="1" applyBorder="1"/>
    <xf numFmtId="168" fontId="19" fillId="0" borderId="63" xfId="4" applyNumberFormat="1" applyFont="1" applyBorder="1"/>
    <xf numFmtId="168" fontId="19" fillId="0" borderId="64" xfId="5" applyNumberFormat="1" applyFont="1" applyBorder="1"/>
    <xf numFmtId="168" fontId="17" fillId="9" borderId="18" xfId="4" applyNumberFormat="1" applyFont="1" applyFill="1" applyBorder="1"/>
    <xf numFmtId="168" fontId="17" fillId="9" borderId="16" xfId="4" applyNumberFormat="1" applyFont="1" applyFill="1" applyBorder="1"/>
    <xf numFmtId="168" fontId="14" fillId="0" borderId="0" xfId="4" applyNumberFormat="1" applyFill="1"/>
    <xf numFmtId="3" fontId="11" fillId="0" borderId="65" xfId="2" applyNumberFormat="1" applyFont="1" applyFill="1" applyBorder="1" applyAlignment="1">
      <alignment horizontal="center"/>
    </xf>
    <xf numFmtId="10" fontId="11" fillId="0" borderId="66" xfId="3" applyNumberFormat="1" applyFont="1" applyFill="1" applyBorder="1" applyAlignment="1">
      <alignment horizontal="center"/>
    </xf>
    <xf numFmtId="9" fontId="11" fillId="12" borderId="67" xfId="3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8" fillId="2" borderId="0" xfId="0" quotePrefix="1" applyFont="1" applyFill="1"/>
    <xf numFmtId="43" fontId="0" fillId="0" borderId="0" xfId="1" applyFont="1"/>
    <xf numFmtId="0" fontId="4" fillId="0" borderId="0" xfId="2" applyFont="1" applyFill="1" applyBorder="1"/>
    <xf numFmtId="0" fontId="4" fillId="0" borderId="0" xfId="2" applyFont="1"/>
    <xf numFmtId="0" fontId="12" fillId="13" borderId="0" xfId="8" applyFill="1" applyBorder="1"/>
    <xf numFmtId="0" fontId="2" fillId="13" borderId="0" xfId="8" applyFont="1" applyFill="1" applyBorder="1"/>
    <xf numFmtId="0" fontId="2" fillId="0" borderId="0" xfId="8" applyFont="1" applyFill="1" applyBorder="1"/>
    <xf numFmtId="0" fontId="3" fillId="13" borderId="0" xfId="8" applyFont="1" applyFill="1" applyBorder="1"/>
    <xf numFmtId="0" fontId="12" fillId="0" borderId="0" xfId="8"/>
    <xf numFmtId="0" fontId="12" fillId="0" borderId="0" xfId="8" applyFill="1" applyBorder="1"/>
    <xf numFmtId="0" fontId="9" fillId="13" borderId="0" xfId="8" applyFont="1" applyFill="1" applyBorder="1"/>
    <xf numFmtId="0" fontId="12" fillId="13" borderId="69" xfId="8" applyFill="1" applyBorder="1"/>
    <xf numFmtId="0" fontId="12" fillId="13" borderId="70" xfId="8" applyFill="1" applyBorder="1"/>
    <xf numFmtId="0" fontId="12" fillId="0" borderId="69" xfId="8" applyFill="1" applyBorder="1"/>
    <xf numFmtId="0" fontId="3" fillId="13" borderId="0" xfId="8" applyFont="1" applyFill="1" applyBorder="1" applyAlignment="1">
      <alignment horizontal="center"/>
    </xf>
    <xf numFmtId="0" fontId="12" fillId="13" borderId="69" xfId="8" applyFill="1" applyBorder="1" applyAlignment="1">
      <alignment horizontal="center"/>
    </xf>
    <xf numFmtId="0" fontId="12" fillId="13" borderId="0" xfId="8" applyFill="1" applyBorder="1" applyAlignment="1">
      <alignment horizontal="center"/>
    </xf>
    <xf numFmtId="0" fontId="3" fillId="13" borderId="70" xfId="8" applyFont="1" applyFill="1" applyBorder="1" applyAlignment="1">
      <alignment horizontal="center"/>
    </xf>
    <xf numFmtId="0" fontId="12" fillId="0" borderId="69" xfId="8" applyFill="1" applyBorder="1" applyAlignment="1">
      <alignment horizontal="center"/>
    </xf>
    <xf numFmtId="0" fontId="12" fillId="0" borderId="0" xfId="8" applyFill="1" applyBorder="1" applyAlignment="1">
      <alignment horizontal="center"/>
    </xf>
    <xf numFmtId="0" fontId="3" fillId="0" borderId="69" xfId="8" applyFont="1" applyFill="1" applyBorder="1" applyAlignment="1">
      <alignment horizontal="center"/>
    </xf>
    <xf numFmtId="170" fontId="3" fillId="13" borderId="0" xfId="8" applyNumberFormat="1" applyFont="1" applyFill="1" applyBorder="1" applyAlignment="1">
      <alignment horizontal="center"/>
    </xf>
    <xf numFmtId="170" fontId="3" fillId="0" borderId="69" xfId="8" applyNumberFormat="1" applyFont="1" applyFill="1" applyBorder="1" applyAlignment="1">
      <alignment horizontal="center"/>
    </xf>
    <xf numFmtId="170" fontId="3" fillId="0" borderId="0" xfId="8" applyNumberFormat="1" applyFont="1" applyFill="1" applyBorder="1" applyAlignment="1">
      <alignment horizontal="center"/>
    </xf>
    <xf numFmtId="0" fontId="4" fillId="13" borderId="0" xfId="8" applyFont="1" applyFill="1" applyBorder="1" applyAlignment="1">
      <alignment horizontal="center"/>
    </xf>
    <xf numFmtId="0" fontId="10" fillId="13" borderId="72" xfId="8" applyFont="1" applyFill="1" applyBorder="1" applyAlignment="1">
      <alignment horizontal="center"/>
    </xf>
    <xf numFmtId="0" fontId="10" fillId="13" borderId="73" xfId="8" applyFont="1" applyFill="1" applyBorder="1" applyAlignment="1">
      <alignment horizontal="center"/>
    </xf>
    <xf numFmtId="0" fontId="12" fillId="13" borderId="73" xfId="8" applyFont="1" applyFill="1" applyBorder="1" applyAlignment="1">
      <alignment horizontal="center"/>
    </xf>
    <xf numFmtId="0" fontId="3" fillId="13" borderId="74" xfId="8" applyFont="1" applyFill="1" applyBorder="1" applyAlignment="1">
      <alignment horizontal="center"/>
    </xf>
    <xf numFmtId="0" fontId="10" fillId="0" borderId="72" xfId="8" applyFont="1" applyFill="1" applyBorder="1" applyAlignment="1">
      <alignment horizontal="center"/>
    </xf>
    <xf numFmtId="0" fontId="10" fillId="0" borderId="73" xfId="8" applyFont="1" applyFill="1" applyBorder="1" applyAlignment="1">
      <alignment horizontal="center"/>
    </xf>
    <xf numFmtId="0" fontId="3" fillId="13" borderId="73" xfId="8" applyFont="1" applyFill="1" applyBorder="1" applyAlignment="1">
      <alignment horizontal="center"/>
    </xf>
    <xf numFmtId="0" fontId="12" fillId="13" borderId="72" xfId="8" applyFont="1" applyFill="1" applyBorder="1" applyAlignment="1">
      <alignment horizontal="center"/>
    </xf>
    <xf numFmtId="0" fontId="12" fillId="13" borderId="75" xfId="8" applyFill="1" applyBorder="1"/>
    <xf numFmtId="0" fontId="12" fillId="13" borderId="76" xfId="8" applyFont="1" applyFill="1" applyBorder="1"/>
    <xf numFmtId="171" fontId="12" fillId="13" borderId="77" xfId="8" applyNumberFormat="1" applyFill="1" applyBorder="1"/>
    <xf numFmtId="171" fontId="12" fillId="13" borderId="68" xfId="8" applyNumberFormat="1" applyFill="1" applyBorder="1"/>
    <xf numFmtId="171" fontId="20" fillId="0" borderId="68" xfId="10" applyNumberFormat="1" applyFont="1" applyBorder="1"/>
    <xf numFmtId="171" fontId="3" fillId="15" borderId="76" xfId="8" applyNumberFormat="1" applyFont="1" applyFill="1" applyBorder="1"/>
    <xf numFmtId="171" fontId="3" fillId="15" borderId="78" xfId="8" applyNumberFormat="1" applyFont="1" applyFill="1" applyBorder="1"/>
    <xf numFmtId="171" fontId="12" fillId="13" borderId="76" xfId="8" applyNumberFormat="1" applyFill="1" applyBorder="1"/>
    <xf numFmtId="171" fontId="12" fillId="13" borderId="75" xfId="8" applyNumberFormat="1" applyFill="1" applyBorder="1"/>
    <xf numFmtId="171" fontId="20" fillId="0" borderId="71" xfId="10" applyNumberFormat="1" applyFont="1" applyBorder="1"/>
    <xf numFmtId="171" fontId="12" fillId="0" borderId="76" xfId="8" applyNumberFormat="1" applyFont="1" applyFill="1" applyBorder="1"/>
    <xf numFmtId="171" fontId="12" fillId="0" borderId="77" xfId="8" applyNumberFormat="1" applyFont="1" applyFill="1" applyBorder="1"/>
    <xf numFmtId="171" fontId="3" fillId="15" borderId="68" xfId="8" applyNumberFormat="1" applyFont="1" applyFill="1" applyBorder="1"/>
    <xf numFmtId="171" fontId="12" fillId="0" borderId="78" xfId="8" applyNumberFormat="1" applyFont="1" applyFill="1" applyBorder="1"/>
    <xf numFmtId="171" fontId="12" fillId="0" borderId="75" xfId="8" applyNumberFormat="1" applyFont="1" applyFill="1" applyBorder="1"/>
    <xf numFmtId="171" fontId="3" fillId="14" borderId="78" xfId="8" applyNumberFormat="1" applyFont="1" applyFill="1" applyBorder="1"/>
    <xf numFmtId="170" fontId="12" fillId="13" borderId="78" xfId="8" applyNumberFormat="1" applyFill="1" applyBorder="1"/>
    <xf numFmtId="170" fontId="12" fillId="13" borderId="77" xfId="8" applyNumberFormat="1" applyFill="1" applyBorder="1"/>
    <xf numFmtId="170" fontId="12" fillId="13" borderId="75" xfId="8" applyNumberFormat="1" applyFill="1" applyBorder="1"/>
    <xf numFmtId="10" fontId="12" fillId="13" borderId="78" xfId="8" applyNumberFormat="1" applyFill="1" applyBorder="1"/>
    <xf numFmtId="170" fontId="12" fillId="13" borderId="0" xfId="8" applyNumberFormat="1" applyFill="1" applyBorder="1"/>
    <xf numFmtId="3" fontId="12" fillId="13" borderId="0" xfId="8" applyNumberFormat="1" applyFill="1" applyBorder="1"/>
    <xf numFmtId="0" fontId="12" fillId="13" borderId="79" xfId="8" applyFill="1" applyBorder="1"/>
    <xf numFmtId="0" fontId="12" fillId="13" borderId="80" xfId="8" applyFill="1" applyBorder="1"/>
    <xf numFmtId="171" fontId="12" fillId="13" borderId="81" xfId="8" applyNumberFormat="1" applyFill="1" applyBorder="1"/>
    <xf numFmtId="171" fontId="12" fillId="13" borderId="68" xfId="8" applyNumberFormat="1" applyFont="1" applyFill="1" applyBorder="1"/>
    <xf numFmtId="171" fontId="3" fillId="15" borderId="80" xfId="8" applyNumberFormat="1" applyFont="1" applyFill="1" applyBorder="1"/>
    <xf numFmtId="171" fontId="12" fillId="13" borderId="80" xfId="8" applyNumberFormat="1" applyFill="1" applyBorder="1"/>
    <xf numFmtId="171" fontId="12" fillId="0" borderId="68" xfId="8" applyNumberFormat="1" applyFont="1" applyFill="1" applyBorder="1"/>
    <xf numFmtId="171" fontId="12" fillId="0" borderId="81" xfId="8" applyNumberFormat="1" applyFont="1" applyFill="1" applyBorder="1"/>
    <xf numFmtId="171" fontId="12" fillId="13" borderId="79" xfId="8" applyNumberFormat="1" applyFill="1" applyBorder="1"/>
    <xf numFmtId="171" fontId="12" fillId="13" borderId="79" xfId="8" applyNumberFormat="1" applyFont="1" applyFill="1" applyBorder="1"/>
    <xf numFmtId="171" fontId="3" fillId="15" borderId="13" xfId="8" applyNumberFormat="1" applyFont="1" applyFill="1" applyBorder="1"/>
    <xf numFmtId="171" fontId="12" fillId="0" borderId="79" xfId="8" applyNumberFormat="1" applyFont="1" applyFill="1" applyBorder="1"/>
    <xf numFmtId="170" fontId="12" fillId="13" borderId="80" xfId="8" applyNumberFormat="1" applyFill="1" applyBorder="1"/>
    <xf numFmtId="170" fontId="12" fillId="13" borderId="81" xfId="8" applyNumberFormat="1" applyFill="1" applyBorder="1"/>
    <xf numFmtId="170" fontId="12" fillId="13" borderId="79" xfId="8" applyNumberFormat="1" applyFill="1" applyBorder="1"/>
    <xf numFmtId="170" fontId="12" fillId="13" borderId="68" xfId="8" applyNumberFormat="1" applyFill="1" applyBorder="1"/>
    <xf numFmtId="0" fontId="12" fillId="13" borderId="72" xfId="8" applyFill="1" applyBorder="1"/>
    <xf numFmtId="0" fontId="12" fillId="13" borderId="74" xfId="8" applyFont="1" applyFill="1" applyBorder="1"/>
    <xf numFmtId="171" fontId="12" fillId="13" borderId="73" xfId="8" applyNumberFormat="1" applyFill="1" applyBorder="1"/>
    <xf numFmtId="171" fontId="12" fillId="13" borderId="82" xfId="8" applyNumberFormat="1" applyFill="1" applyBorder="1"/>
    <xf numFmtId="171" fontId="20" fillId="0" borderId="82" xfId="10" applyNumberFormat="1" applyFont="1" applyBorder="1"/>
    <xf numFmtId="171" fontId="3" fillId="15" borderId="74" xfId="8" applyNumberFormat="1" applyFont="1" applyFill="1" applyBorder="1"/>
    <xf numFmtId="171" fontId="12" fillId="13" borderId="74" xfId="8" applyNumberFormat="1" applyFill="1" applyBorder="1"/>
    <xf numFmtId="171" fontId="3" fillId="15" borderId="82" xfId="8" applyNumberFormat="1" applyFont="1" applyFill="1" applyBorder="1"/>
    <xf numFmtId="171" fontId="12" fillId="0" borderId="82" xfId="8" applyNumberFormat="1" applyFont="1" applyFill="1" applyBorder="1"/>
    <xf numFmtId="171" fontId="12" fillId="0" borderId="73" xfId="8" applyNumberFormat="1" applyFont="1" applyFill="1" applyBorder="1"/>
    <xf numFmtId="171" fontId="12" fillId="13" borderId="72" xfId="8" applyNumberFormat="1" applyFill="1" applyBorder="1"/>
    <xf numFmtId="171" fontId="20" fillId="0" borderId="72" xfId="10" applyNumberFormat="1" applyFont="1" applyBorder="1"/>
    <xf numFmtId="171" fontId="3" fillId="15" borderId="2" xfId="8" applyNumberFormat="1" applyFont="1" applyFill="1" applyBorder="1"/>
    <xf numFmtId="171" fontId="12" fillId="0" borderId="72" xfId="8" applyNumberFormat="1" applyFont="1" applyFill="1" applyBorder="1"/>
    <xf numFmtId="170" fontId="12" fillId="13" borderId="74" xfId="8" applyNumberFormat="1" applyFill="1" applyBorder="1"/>
    <xf numFmtId="170" fontId="12" fillId="13" borderId="73" xfId="8" applyNumberFormat="1" applyFill="1" applyBorder="1"/>
    <xf numFmtId="170" fontId="12" fillId="13" borderId="72" xfId="8" applyNumberFormat="1" applyFill="1" applyBorder="1"/>
    <xf numFmtId="10" fontId="12" fillId="13" borderId="82" xfId="8" applyNumberFormat="1" applyFill="1" applyBorder="1"/>
    <xf numFmtId="171" fontId="12" fillId="13" borderId="0" xfId="8" applyNumberFormat="1" applyFill="1" applyBorder="1"/>
    <xf numFmtId="171" fontId="12" fillId="13" borderId="71" xfId="8" applyNumberFormat="1" applyFill="1" applyBorder="1"/>
    <xf numFmtId="171" fontId="12" fillId="13" borderId="71" xfId="8" applyNumberFormat="1" applyFont="1" applyFill="1" applyBorder="1"/>
    <xf numFmtId="171" fontId="3" fillId="15" borderId="0" xfId="8" applyNumberFormat="1" applyFont="1" applyFill="1" applyBorder="1"/>
    <xf numFmtId="171" fontId="12" fillId="13" borderId="69" xfId="8" applyNumberFormat="1" applyFill="1" applyBorder="1"/>
    <xf numFmtId="171" fontId="12" fillId="13" borderId="69" xfId="8" applyNumberFormat="1" applyFont="1" applyFill="1" applyBorder="1"/>
    <xf numFmtId="171" fontId="3" fillId="15" borderId="69" xfId="8" applyNumberFormat="1" applyFont="1" applyFill="1" applyBorder="1"/>
    <xf numFmtId="171" fontId="3" fillId="15" borderId="71" xfId="8" applyNumberFormat="1" applyFont="1" applyFill="1" applyBorder="1"/>
    <xf numFmtId="171" fontId="12" fillId="0" borderId="70" xfId="8" applyNumberFormat="1" applyFont="1" applyFill="1" applyBorder="1"/>
    <xf numFmtId="171" fontId="3" fillId="15" borderId="70" xfId="8" applyNumberFormat="1" applyFont="1" applyFill="1" applyBorder="1"/>
    <xf numFmtId="171" fontId="12" fillId="13" borderId="70" xfId="8" applyNumberFormat="1" applyFill="1" applyBorder="1"/>
    <xf numFmtId="171" fontId="12" fillId="13" borderId="0" xfId="8" applyNumberFormat="1" applyFont="1" applyFill="1" applyBorder="1"/>
    <xf numFmtId="171" fontId="12" fillId="0" borderId="0" xfId="8" applyNumberFormat="1" applyFont="1" applyFill="1" applyBorder="1"/>
    <xf numFmtId="171" fontId="3" fillId="14" borderId="71" xfId="8" applyNumberFormat="1" applyFont="1" applyFill="1" applyBorder="1"/>
    <xf numFmtId="170" fontId="12" fillId="13" borderId="71" xfId="8" applyNumberFormat="1" applyFill="1" applyBorder="1"/>
    <xf numFmtId="170" fontId="12" fillId="13" borderId="69" xfId="8" applyNumberFormat="1" applyFill="1" applyBorder="1"/>
    <xf numFmtId="171" fontId="20" fillId="0" borderId="69" xfId="10" applyNumberFormat="1" applyFont="1" applyBorder="1"/>
    <xf numFmtId="171" fontId="3" fillId="15" borderId="3" xfId="8" applyNumberFormat="1" applyFont="1" applyFill="1" applyBorder="1"/>
    <xf numFmtId="171" fontId="12" fillId="0" borderId="69" xfId="8" applyNumberFormat="1" applyFont="1" applyFill="1" applyBorder="1"/>
    <xf numFmtId="10" fontId="12" fillId="13" borderId="71" xfId="8" applyNumberFormat="1" applyFill="1" applyBorder="1"/>
    <xf numFmtId="171" fontId="3" fillId="15" borderId="81" xfId="8" applyNumberFormat="1" applyFont="1" applyFill="1" applyBorder="1"/>
    <xf numFmtId="171" fontId="3" fillId="15" borderId="79" xfId="8" applyNumberFormat="1" applyFont="1" applyFill="1" applyBorder="1"/>
    <xf numFmtId="171" fontId="12" fillId="0" borderId="80" xfId="8" applyNumberFormat="1" applyFont="1" applyFill="1" applyBorder="1"/>
    <xf numFmtId="171" fontId="3" fillId="14" borderId="68" xfId="8" applyNumberFormat="1" applyFont="1" applyFill="1" applyBorder="1"/>
    <xf numFmtId="171" fontId="12" fillId="13" borderId="82" xfId="8" applyNumberFormat="1" applyFont="1" applyFill="1" applyBorder="1"/>
    <xf numFmtId="171" fontId="12" fillId="0" borderId="74" xfId="8" applyNumberFormat="1" applyFont="1" applyFill="1" applyBorder="1"/>
    <xf numFmtId="171" fontId="12" fillId="0" borderId="74" xfId="8" applyNumberFormat="1" applyFill="1" applyBorder="1"/>
    <xf numFmtId="171" fontId="12" fillId="13" borderId="81" xfId="8" applyNumberFormat="1" applyFont="1" applyFill="1" applyBorder="1"/>
    <xf numFmtId="171" fontId="12" fillId="13" borderId="72" xfId="8" applyNumberFormat="1" applyFont="1" applyFill="1" applyBorder="1"/>
    <xf numFmtId="171" fontId="3" fillId="0" borderId="70" xfId="8" applyNumberFormat="1" applyFont="1" applyFill="1" applyBorder="1"/>
    <xf numFmtId="171" fontId="3" fillId="0" borderId="0" xfId="8" applyNumberFormat="1" applyFont="1" applyFill="1" applyBorder="1"/>
    <xf numFmtId="0" fontId="12" fillId="13" borderId="82" xfId="8" applyFill="1" applyBorder="1"/>
    <xf numFmtId="171" fontId="3" fillId="15" borderId="73" xfId="8" applyNumberFormat="1" applyFont="1" applyFill="1" applyBorder="1"/>
    <xf numFmtId="171" fontId="12" fillId="0" borderId="82" xfId="8" applyNumberFormat="1" applyBorder="1"/>
    <xf numFmtId="171" fontId="3" fillId="15" borderId="72" xfId="8" applyNumberFormat="1" applyFont="1" applyFill="1" applyBorder="1"/>
    <xf numFmtId="171" fontId="3" fillId="0" borderId="82" xfId="8" applyNumberFormat="1" applyFont="1" applyFill="1" applyBorder="1"/>
    <xf numFmtId="171" fontId="12" fillId="13" borderId="73" xfId="8" applyNumberFormat="1" applyFont="1" applyFill="1" applyBorder="1"/>
    <xf numFmtId="171" fontId="3" fillId="0" borderId="74" xfId="8" applyNumberFormat="1" applyFont="1" applyFill="1" applyBorder="1"/>
    <xf numFmtId="171" fontId="3" fillId="0" borderId="73" xfId="8" applyNumberFormat="1" applyFont="1" applyFill="1" applyBorder="1"/>
    <xf numFmtId="171" fontId="3" fillId="14" borderId="82" xfId="8" applyNumberFormat="1" applyFont="1" applyFill="1" applyBorder="1"/>
    <xf numFmtId="170" fontId="12" fillId="13" borderId="82" xfId="8" applyNumberFormat="1" applyFill="1" applyBorder="1"/>
    <xf numFmtId="37" fontId="12" fillId="0" borderId="0" xfId="8" applyNumberFormat="1" applyBorder="1"/>
    <xf numFmtId="37" fontId="12" fillId="13" borderId="0" xfId="8" applyNumberFormat="1" applyFill="1" applyBorder="1"/>
    <xf numFmtId="22" fontId="12" fillId="13" borderId="0" xfId="8" applyNumberFormat="1" applyFill="1" applyBorder="1"/>
    <xf numFmtId="15" fontId="12" fillId="13" borderId="0" xfId="8" applyNumberFormat="1" applyFill="1" applyBorder="1"/>
    <xf numFmtId="37" fontId="12" fillId="13" borderId="83" xfId="8" applyNumberFormat="1" applyFill="1" applyBorder="1"/>
    <xf numFmtId="170" fontId="12" fillId="0" borderId="0" xfId="8" applyNumberFormat="1" applyFill="1" applyBorder="1"/>
    <xf numFmtId="10" fontId="12" fillId="13" borderId="0" xfId="8" applyNumberFormat="1" applyFill="1" applyBorder="1"/>
    <xf numFmtId="7" fontId="22" fillId="0" borderId="2" xfId="12" applyNumberFormat="1" applyFont="1" applyBorder="1"/>
    <xf numFmtId="7" fontId="22" fillId="0" borderId="2" xfId="13" applyNumberFormat="1" applyFont="1" applyBorder="1"/>
    <xf numFmtId="7" fontId="22" fillId="0" borderId="2" xfId="15" applyNumberFormat="1" applyFont="1" applyBorder="1"/>
    <xf numFmtId="7" fontId="22" fillId="0" borderId="2" xfId="16" applyNumberFormat="1" applyFont="1" applyBorder="1"/>
    <xf numFmtId="7" fontId="22" fillId="0" borderId="2" xfId="18" applyNumberFormat="1" applyFont="1" applyBorder="1"/>
    <xf numFmtId="7" fontId="22" fillId="0" borderId="2" xfId="17" applyNumberFormat="1" applyFont="1" applyBorder="1"/>
    <xf numFmtId="171" fontId="12" fillId="13" borderId="84" xfId="8" applyNumberFormat="1" applyFill="1" applyBorder="1"/>
    <xf numFmtId="171" fontId="12" fillId="13" borderId="78" xfId="8" applyNumberFormat="1" applyFill="1" applyBorder="1"/>
    <xf numFmtId="7" fontId="22" fillId="0" borderId="82" xfId="14" applyNumberFormat="1" applyFont="1" applyBorder="1"/>
    <xf numFmtId="0" fontId="10" fillId="2" borderId="74" xfId="0" applyFont="1" applyFill="1" applyBorder="1" applyAlignment="1">
      <alignment horizontal="center"/>
    </xf>
    <xf numFmtId="0" fontId="12" fillId="0" borderId="71" xfId="8" applyFill="1" applyBorder="1" applyAlignment="1">
      <alignment horizontal="center"/>
    </xf>
    <xf numFmtId="0" fontId="12" fillId="14" borderId="68" xfId="8" applyFont="1" applyFill="1" applyBorder="1" applyAlignment="1">
      <alignment horizontal="center"/>
    </xf>
    <xf numFmtId="0" fontId="6" fillId="2" borderId="40" xfId="2" applyFont="1" applyFill="1" applyBorder="1" applyAlignment="1">
      <alignment horizontal="center"/>
    </xf>
    <xf numFmtId="0" fontId="4" fillId="2" borderId="41" xfId="2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0" fontId="4" fillId="2" borderId="26" xfId="2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2" borderId="25" xfId="2" applyFill="1" applyBorder="1" applyAlignment="1">
      <alignment horizontal="center"/>
    </xf>
    <xf numFmtId="0" fontId="4" fillId="2" borderId="26" xfId="2" applyFill="1" applyBorder="1" applyAlignment="1">
      <alignment horizontal="center"/>
    </xf>
    <xf numFmtId="9" fontId="4" fillId="2" borderId="25" xfId="2" applyNumberFormat="1" applyFill="1" applyBorder="1" applyAlignment="1">
      <alignment horizontal="center"/>
    </xf>
    <xf numFmtId="9" fontId="4" fillId="2" borderId="26" xfId="2" applyNumberForma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11" fillId="0" borderId="42" xfId="2" applyFont="1" applyFill="1" applyBorder="1" applyAlignment="1">
      <alignment horizontal="center" vertical="center" wrapText="1"/>
    </xf>
    <xf numFmtId="0" fontId="11" fillId="0" borderId="31" xfId="2" applyFont="1" applyFill="1" applyBorder="1" applyAlignment="1">
      <alignment horizontal="center" vertical="center" wrapText="1"/>
    </xf>
    <xf numFmtId="0" fontId="11" fillId="0" borderId="43" xfId="2" applyFont="1" applyFill="1" applyBorder="1" applyAlignment="1">
      <alignment horizontal="center" vertical="center" wrapText="1"/>
    </xf>
    <xf numFmtId="0" fontId="11" fillId="0" borderId="32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left" wrapText="1"/>
    </xf>
    <xf numFmtId="0" fontId="11" fillId="0" borderId="44" xfId="2" applyFont="1" applyFill="1" applyBorder="1" applyAlignment="1">
      <alignment horizontal="center" vertical="center" wrapText="1"/>
    </xf>
    <xf numFmtId="0" fontId="11" fillId="0" borderId="30" xfId="2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/>
    </xf>
    <xf numFmtId="0" fontId="16" fillId="0" borderId="1" xfId="4" applyFont="1" applyBorder="1" applyAlignment="1">
      <alignment horizontal="center"/>
    </xf>
    <xf numFmtId="0" fontId="14" fillId="0" borderId="1" xfId="4" applyFill="1" applyBorder="1" applyAlignment="1">
      <alignment horizontal="center"/>
    </xf>
  </cellXfs>
  <cellStyles count="19">
    <cellStyle name="Comma" xfId="1" builtinId="3"/>
    <cellStyle name="Comma 2" xfId="5"/>
    <cellStyle name="Currency 2" xfId="11"/>
    <cellStyle name="Normal" xfId="0" builtinId="0"/>
    <cellStyle name="Normal 11" xfId="18"/>
    <cellStyle name="Normal 2" xfId="4"/>
    <cellStyle name="Normal 2 2" xfId="8"/>
    <cellStyle name="Normal 3" xfId="9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Normal_2008 OAA award with additional tabs" xfId="2"/>
    <cellStyle name="Normal_2008 OAA award with additional tabs 2" xfId="7"/>
    <cellStyle name="Normal_2008 with carryfor and trans" xfId="10"/>
    <cellStyle name="Normal_Sheet2" xfId="6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IEF\Bud082009\2008%20OAA\2008%20oaa%20allocation%20with%20carryforwards%20and%20transfer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aa 2008 original"/>
      <sheetName val="oaa 2008 transers"/>
      <sheetName val="2008 with carryfor and trans"/>
      <sheetName val="2008 Svcs Formula"/>
      <sheetName val="IIID Prevention "/>
      <sheetName val="new 2008 factors"/>
      <sheetName val="OAA updated"/>
      <sheetName val="2008 Svcs and Adm Alloca  updat"/>
      <sheetName val="2008 Admin Formula _2_"/>
      <sheetName val="2008 Admin Formul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7">
          <cell r="Z17">
            <v>6669151</v>
          </cell>
        </row>
        <row r="19">
          <cell r="Z19">
            <v>5935396</v>
          </cell>
        </row>
        <row r="21">
          <cell r="Z21">
            <v>5479911</v>
          </cell>
        </row>
        <row r="23">
          <cell r="Z23">
            <v>7623328</v>
          </cell>
        </row>
        <row r="25">
          <cell r="Z25">
            <v>5678359</v>
          </cell>
        </row>
        <row r="27">
          <cell r="Z27">
            <v>5829698</v>
          </cell>
        </row>
        <row r="29">
          <cell r="Z29">
            <v>6962903</v>
          </cell>
        </row>
        <row r="31">
          <cell r="Z31">
            <v>5747243</v>
          </cell>
        </row>
        <row r="33">
          <cell r="Z33">
            <v>13265512</v>
          </cell>
        </row>
      </sheetData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zoomScaleNormal="100" workbookViewId="0">
      <pane xSplit="1" ySplit="9" topLeftCell="B29" activePane="bottomRight" state="frozen"/>
      <selection pane="topRight" activeCell="B1" sqref="B1"/>
      <selection pane="bottomLeft" activeCell="A10" sqref="A10"/>
      <selection pane="bottomRight" activeCell="B42" sqref="B42"/>
    </sheetView>
  </sheetViews>
  <sheetFormatPr defaultColWidth="11.5546875" defaultRowHeight="12.75"/>
  <cols>
    <col min="1" max="1" width="40.6640625" style="101" customWidth="1"/>
    <col min="2" max="2" width="15" style="101" customWidth="1"/>
    <col min="3" max="4" width="14.109375" style="101" customWidth="1"/>
    <col min="5" max="5" width="14.6640625" style="101" customWidth="1"/>
    <col min="6" max="6" width="14" style="101" customWidth="1"/>
    <col min="7" max="7" width="16.21875" style="101" customWidth="1"/>
    <col min="8" max="8" width="15.77734375" style="101" customWidth="1"/>
    <col min="9" max="9" width="15" style="101" customWidth="1"/>
    <col min="10" max="10" width="12.109375" style="101" customWidth="1"/>
    <col min="11" max="11" width="15.88671875" style="101" customWidth="1"/>
    <col min="12" max="12" width="12.33203125" style="101" customWidth="1"/>
    <col min="13" max="16384" width="11.5546875" style="101"/>
  </cols>
  <sheetData>
    <row r="1" spans="1:11" ht="18">
      <c r="I1" s="102"/>
    </row>
    <row r="2" spans="1:11" ht="13.5" thickBot="1"/>
    <row r="3" spans="1:11" ht="16.5" thickBot="1">
      <c r="A3" s="103" t="s">
        <v>143</v>
      </c>
      <c r="B3" s="104"/>
      <c r="D3" s="101" t="s">
        <v>91</v>
      </c>
    </row>
    <row r="4" spans="1:11" ht="16.5" thickBot="1">
      <c r="A4" s="105" t="s">
        <v>144</v>
      </c>
      <c r="B4" s="106"/>
    </row>
    <row r="5" spans="1:11" ht="18">
      <c r="D5" s="107"/>
      <c r="E5" s="108"/>
      <c r="I5" s="109"/>
    </row>
    <row r="6" spans="1:11" ht="13.5" thickBot="1"/>
    <row r="7" spans="1:11">
      <c r="A7" s="110"/>
      <c r="B7" s="111" t="s">
        <v>92</v>
      </c>
      <c r="C7" s="112" t="s">
        <v>93</v>
      </c>
      <c r="D7" s="112" t="s">
        <v>94</v>
      </c>
      <c r="E7" s="112" t="s">
        <v>95</v>
      </c>
      <c r="F7" s="112" t="s">
        <v>96</v>
      </c>
      <c r="G7" s="112" t="s">
        <v>97</v>
      </c>
      <c r="H7" s="112" t="s">
        <v>98</v>
      </c>
      <c r="I7" s="112" t="s">
        <v>98</v>
      </c>
    </row>
    <row r="8" spans="1:11">
      <c r="A8" s="113"/>
      <c r="B8" s="114" t="s">
        <v>99</v>
      </c>
      <c r="C8" s="115" t="s">
        <v>100</v>
      </c>
      <c r="D8" s="115" t="s">
        <v>101</v>
      </c>
      <c r="E8" s="115" t="s">
        <v>102</v>
      </c>
      <c r="F8" s="115" t="s">
        <v>103</v>
      </c>
      <c r="G8" s="115" t="s">
        <v>56</v>
      </c>
      <c r="H8" s="115" t="s">
        <v>104</v>
      </c>
      <c r="I8" s="115" t="s">
        <v>105</v>
      </c>
    </row>
    <row r="9" spans="1:11" ht="16.5" thickBot="1">
      <c r="A9" s="113" t="s">
        <v>106</v>
      </c>
      <c r="B9" s="116" t="s">
        <v>107</v>
      </c>
      <c r="C9" s="117" t="s">
        <v>108</v>
      </c>
      <c r="D9" s="117" t="s">
        <v>109</v>
      </c>
      <c r="E9" s="117" t="s">
        <v>109</v>
      </c>
      <c r="F9" s="117" t="s">
        <v>110</v>
      </c>
      <c r="G9" s="117" t="s">
        <v>111</v>
      </c>
      <c r="H9" s="117" t="s">
        <v>112</v>
      </c>
      <c r="I9" s="117" t="s">
        <v>113</v>
      </c>
    </row>
    <row r="10" spans="1:11" ht="13.5" thickTop="1">
      <c r="A10" s="113"/>
      <c r="B10" s="118"/>
      <c r="C10" s="119"/>
      <c r="D10" s="119"/>
      <c r="E10" s="119"/>
      <c r="F10" s="119"/>
      <c r="G10" s="119"/>
      <c r="H10" s="119"/>
      <c r="I10" s="119"/>
    </row>
    <row r="11" spans="1:11">
      <c r="A11" s="120" t="s">
        <v>145</v>
      </c>
      <c r="B11" s="121">
        <f>SUM(C11:I11)</f>
        <v>90007025</v>
      </c>
      <c r="C11" s="122">
        <v>26577730</v>
      </c>
      <c r="D11" s="122">
        <v>31814346</v>
      </c>
      <c r="E11" s="122">
        <v>16031256</v>
      </c>
      <c r="F11" s="122">
        <v>1557571</v>
      </c>
      <c r="G11" s="122">
        <v>12419421</v>
      </c>
      <c r="H11" s="122">
        <v>1239282</v>
      </c>
      <c r="I11" s="122">
        <v>367419</v>
      </c>
    </row>
    <row r="12" spans="1:11">
      <c r="A12" s="120" t="s">
        <v>135</v>
      </c>
      <c r="B12" s="121">
        <f>SUM(C12:I12)</f>
        <v>88339965</v>
      </c>
      <c r="C12" s="122">
        <v>25904341</v>
      </c>
      <c r="D12" s="122">
        <v>31142763</v>
      </c>
      <c r="E12" s="122">
        <v>15818059</v>
      </c>
      <c r="F12" s="122">
        <v>1541996</v>
      </c>
      <c r="G12" s="122">
        <v>12358964</v>
      </c>
      <c r="H12" s="122">
        <v>1204283</v>
      </c>
      <c r="I12" s="122">
        <v>369559</v>
      </c>
    </row>
    <row r="13" spans="1:11">
      <c r="A13" s="120" t="s">
        <v>114</v>
      </c>
      <c r="B13" s="121">
        <f t="shared" ref="B13:I13" si="0">B11-B12</f>
        <v>1667060</v>
      </c>
      <c r="C13" s="122">
        <f t="shared" si="0"/>
        <v>673389</v>
      </c>
      <c r="D13" s="122">
        <f t="shared" si="0"/>
        <v>671583</v>
      </c>
      <c r="E13" s="122">
        <f t="shared" si="0"/>
        <v>213197</v>
      </c>
      <c r="F13" s="122">
        <f t="shared" si="0"/>
        <v>15575</v>
      </c>
      <c r="G13" s="122">
        <f t="shared" si="0"/>
        <v>60457</v>
      </c>
      <c r="H13" s="122">
        <f t="shared" si="0"/>
        <v>34999</v>
      </c>
      <c r="I13" s="122">
        <f t="shared" si="0"/>
        <v>-2140</v>
      </c>
      <c r="J13" s="119"/>
      <c r="K13" s="119"/>
    </row>
    <row r="14" spans="1:11">
      <c r="A14" s="120"/>
      <c r="B14" s="123"/>
      <c r="C14" s="124"/>
      <c r="D14" s="124"/>
      <c r="E14" s="124"/>
      <c r="F14" s="124"/>
      <c r="G14" s="124"/>
      <c r="H14" s="124"/>
      <c r="I14" s="124"/>
    </row>
    <row r="15" spans="1:11" ht="13.5" thickBot="1">
      <c r="A15" s="120"/>
      <c r="B15" s="123"/>
      <c r="C15" s="124"/>
      <c r="D15" s="124"/>
      <c r="E15" s="124"/>
      <c r="F15" s="124"/>
      <c r="G15" s="124"/>
      <c r="H15" s="124"/>
      <c r="I15" s="124"/>
    </row>
    <row r="16" spans="1:11" ht="13.5" thickBot="1">
      <c r="A16" s="120" t="s">
        <v>146</v>
      </c>
      <c r="B16" s="125">
        <f>SUM(C11:G11)*0.05</f>
        <v>4420016.2</v>
      </c>
      <c r="C16" s="126">
        <v>10864</v>
      </c>
      <c r="D16" s="126">
        <v>1250055</v>
      </c>
      <c r="E16" s="126">
        <v>802160</v>
      </c>
      <c r="F16" s="126">
        <v>31071</v>
      </c>
      <c r="G16" s="126">
        <v>2325866</v>
      </c>
      <c r="H16" s="126"/>
      <c r="I16" s="126">
        <v>0</v>
      </c>
    </row>
    <row r="17" spans="1:13">
      <c r="A17" s="113"/>
      <c r="B17" s="220"/>
      <c r="C17" s="217"/>
      <c r="D17" s="122"/>
      <c r="E17" s="122"/>
      <c r="F17" s="122"/>
      <c r="G17" s="122"/>
      <c r="H17" s="122"/>
      <c r="I17" s="122"/>
    </row>
    <row r="18" spans="1:13" s="219" customFormat="1">
      <c r="A18" s="120"/>
      <c r="B18" s="123">
        <f>B16+B17</f>
        <v>4420016.2</v>
      </c>
      <c r="C18" s="218">
        <f>C16+C17</f>
        <v>10864</v>
      </c>
      <c r="D18" s="218">
        <f t="shared" ref="D18:I18" si="1">D16+D17</f>
        <v>1250055</v>
      </c>
      <c r="E18" s="218">
        <f t="shared" si="1"/>
        <v>802160</v>
      </c>
      <c r="F18" s="218">
        <f t="shared" si="1"/>
        <v>31071</v>
      </c>
      <c r="G18" s="218">
        <f t="shared" si="1"/>
        <v>2325866</v>
      </c>
      <c r="H18" s="218">
        <f t="shared" si="1"/>
        <v>0</v>
      </c>
      <c r="I18" s="218">
        <f t="shared" si="1"/>
        <v>0</v>
      </c>
    </row>
    <row r="19" spans="1:13">
      <c r="A19" s="113"/>
      <c r="B19" s="121"/>
      <c r="C19" s="122"/>
      <c r="D19" s="122"/>
      <c r="E19" s="122"/>
      <c r="F19" s="122"/>
      <c r="G19" s="122"/>
      <c r="H19" s="122"/>
      <c r="I19" s="122"/>
    </row>
    <row r="20" spans="1:13" ht="15.75">
      <c r="A20" s="113" t="s">
        <v>115</v>
      </c>
      <c r="B20" s="121">
        <f>SUM(C20:I20)</f>
        <v>1643942</v>
      </c>
      <c r="C20" s="122">
        <v>404660</v>
      </c>
      <c r="D20" s="127"/>
      <c r="E20" s="122"/>
      <c r="F20" s="122"/>
      <c r="G20" s="122"/>
      <c r="H20" s="122">
        <f>H11</f>
        <v>1239282</v>
      </c>
      <c r="I20" s="122"/>
      <c r="J20" s="119"/>
      <c r="K20" s="119"/>
    </row>
    <row r="21" spans="1:13">
      <c r="A21" s="113" t="s">
        <v>116</v>
      </c>
      <c r="B21" s="121">
        <f>SUM(C21:I21)</f>
        <v>367419</v>
      </c>
      <c r="C21" s="122"/>
      <c r="D21" s="122"/>
      <c r="E21" s="122"/>
      <c r="F21" s="122"/>
      <c r="G21" s="122"/>
      <c r="H21" s="122"/>
      <c r="I21" s="122">
        <f>I11</f>
        <v>367419</v>
      </c>
    </row>
    <row r="22" spans="1:13" ht="15.75">
      <c r="A22" s="113"/>
      <c r="B22" s="121"/>
      <c r="C22" s="122" t="s">
        <v>1</v>
      </c>
      <c r="D22" s="122"/>
      <c r="E22" s="122"/>
      <c r="F22" s="122"/>
      <c r="G22" s="127"/>
      <c r="H22" s="122"/>
      <c r="I22" s="122"/>
    </row>
    <row r="23" spans="1:13">
      <c r="A23" s="113"/>
      <c r="B23" s="121"/>
      <c r="C23" s="122"/>
      <c r="D23" s="122"/>
      <c r="E23" s="122"/>
      <c r="F23" s="122"/>
      <c r="G23" s="122"/>
      <c r="H23" s="122"/>
      <c r="I23" s="122"/>
    </row>
    <row r="24" spans="1:13" ht="13.5" thickBot="1">
      <c r="A24" s="120" t="s">
        <v>117</v>
      </c>
      <c r="B24" s="128">
        <f>B11-B18-B20-B21</f>
        <v>83575647.799999997</v>
      </c>
      <c r="C24" s="129">
        <f>SUM(C11-C18-C20)</f>
        <v>26162206</v>
      </c>
      <c r="D24" s="129">
        <f>SUM(D11-D16)</f>
        <v>30564291</v>
      </c>
      <c r="E24" s="129">
        <f>SUM(E11-E16)</f>
        <v>15229096</v>
      </c>
      <c r="F24" s="129">
        <f>SUM(F11-F16)</f>
        <v>1526500</v>
      </c>
      <c r="G24" s="129">
        <f>SUM(G11-G16)</f>
        <v>10093555</v>
      </c>
      <c r="H24" s="129">
        <v>0</v>
      </c>
      <c r="I24" s="129">
        <v>0</v>
      </c>
    </row>
    <row r="25" spans="1:13" ht="13.5" thickBot="1">
      <c r="A25" s="113" t="s">
        <v>118</v>
      </c>
      <c r="B25" s="130">
        <f>B24*0.1</f>
        <v>8357564.7800000003</v>
      </c>
      <c r="C25" s="131">
        <v>2304690</v>
      </c>
      <c r="D25" s="131">
        <v>3196858</v>
      </c>
      <c r="E25" s="131">
        <v>1512778</v>
      </c>
      <c r="F25" s="131"/>
      <c r="G25" s="131">
        <v>1343239</v>
      </c>
      <c r="H25" s="131"/>
      <c r="I25" s="131"/>
    </row>
    <row r="26" spans="1:13" ht="13.5" thickBot="1">
      <c r="A26" s="132" t="s">
        <v>233</v>
      </c>
      <c r="B26" s="133">
        <f t="shared" ref="B26:I26" si="2">B24-B25</f>
        <v>75218083.019999996</v>
      </c>
      <c r="C26" s="134">
        <f>C24-C25</f>
        <v>23857516</v>
      </c>
      <c r="D26" s="134">
        <f t="shared" si="2"/>
        <v>27367433</v>
      </c>
      <c r="E26" s="134">
        <f t="shared" si="2"/>
        <v>13716318</v>
      </c>
      <c r="F26" s="134">
        <f t="shared" si="2"/>
        <v>1526500</v>
      </c>
      <c r="G26" s="134">
        <f t="shared" si="2"/>
        <v>8750316</v>
      </c>
      <c r="H26" s="134">
        <f t="shared" si="2"/>
        <v>0</v>
      </c>
      <c r="I26" s="134">
        <f t="shared" si="2"/>
        <v>0</v>
      </c>
    </row>
    <row r="27" spans="1:13" ht="13.5" thickBot="1">
      <c r="B27" s="135"/>
      <c r="C27" s="135"/>
      <c r="D27" s="135"/>
      <c r="E27" s="135"/>
      <c r="F27" s="135"/>
      <c r="G27" s="135"/>
      <c r="H27" s="135"/>
      <c r="I27" s="135"/>
    </row>
    <row r="28" spans="1:13" s="139" customFormat="1">
      <c r="A28" s="136" t="s">
        <v>136</v>
      </c>
      <c r="B28" s="137">
        <f>SUM(C28:G28)</f>
        <v>73820841</v>
      </c>
      <c r="C28" s="137">
        <v>23227140</v>
      </c>
      <c r="D28" s="137">
        <v>26778343</v>
      </c>
      <c r="E28" s="137">
        <v>13546051</v>
      </c>
      <c r="F28" s="137">
        <v>1511499</v>
      </c>
      <c r="G28" s="137">
        <v>8757808</v>
      </c>
      <c r="H28" s="137">
        <v>0</v>
      </c>
      <c r="I28" s="138">
        <v>0</v>
      </c>
    </row>
    <row r="29" spans="1:13" ht="13.5" thickBot="1">
      <c r="A29" s="140" t="s">
        <v>114</v>
      </c>
      <c r="B29" s="141"/>
      <c r="C29" s="142">
        <f>C26-C28</f>
        <v>630376</v>
      </c>
      <c r="D29" s="142">
        <f>D26-D28</f>
        <v>589090</v>
      </c>
      <c r="E29" s="142">
        <f>E26-E28</f>
        <v>170267</v>
      </c>
      <c r="F29" s="142">
        <f>F26-F28</f>
        <v>15001</v>
      </c>
      <c r="G29" s="142">
        <f>G26-G28</f>
        <v>-7492</v>
      </c>
      <c r="H29" s="143"/>
      <c r="I29" s="106"/>
      <c r="J29" s="144"/>
      <c r="K29" s="122"/>
      <c r="L29" s="122"/>
      <c r="M29" s="119"/>
    </row>
    <row r="30" spans="1:13" ht="15.75">
      <c r="A30" s="119"/>
      <c r="B30" s="119"/>
      <c r="C30" s="119"/>
      <c r="D30" s="119"/>
      <c r="E30" s="119"/>
      <c r="G30" s="145" t="s">
        <v>119</v>
      </c>
      <c r="H30" s="144"/>
      <c r="I30" s="146"/>
      <c r="J30" s="147"/>
      <c r="K30" s="148"/>
      <c r="L30" s="148"/>
      <c r="M30" s="115"/>
    </row>
    <row r="31" spans="1:13" ht="13.5" thickBot="1">
      <c r="A31" s="119"/>
      <c r="B31" s="122"/>
      <c r="C31" s="122"/>
      <c r="D31" s="122"/>
      <c r="E31" s="122"/>
      <c r="G31" s="227" t="s">
        <v>277</v>
      </c>
      <c r="H31" s="149"/>
      <c r="I31" s="225" t="s">
        <v>278</v>
      </c>
      <c r="J31" s="148"/>
      <c r="K31" s="148"/>
      <c r="L31" s="148"/>
      <c r="M31" s="115"/>
    </row>
    <row r="32" spans="1:13">
      <c r="A32" s="119"/>
      <c r="B32" s="122"/>
      <c r="C32" s="122"/>
      <c r="D32" s="122"/>
      <c r="E32" s="122"/>
      <c r="G32" s="150" t="s">
        <v>66</v>
      </c>
      <c r="H32" s="151" t="s">
        <v>120</v>
      </c>
      <c r="I32" s="152" t="s">
        <v>121</v>
      </c>
      <c r="J32" s="148"/>
      <c r="K32" s="122"/>
      <c r="L32" s="122"/>
      <c r="M32" s="153"/>
    </row>
    <row r="33" spans="1:13">
      <c r="A33" s="119"/>
      <c r="B33" s="122"/>
      <c r="C33" s="122"/>
      <c r="D33" s="122"/>
      <c r="E33" s="122"/>
      <c r="G33" s="150">
        <v>1</v>
      </c>
      <c r="H33" s="151" t="s">
        <v>279</v>
      </c>
      <c r="I33" s="146">
        <v>22000</v>
      </c>
      <c r="J33" s="148"/>
      <c r="K33" s="122"/>
      <c r="L33" s="122"/>
      <c r="M33" s="153"/>
    </row>
    <row r="34" spans="1:13">
      <c r="G34" s="150">
        <v>2</v>
      </c>
      <c r="H34" s="151" t="s">
        <v>280</v>
      </c>
      <c r="I34" s="146">
        <v>22000</v>
      </c>
      <c r="J34" s="148"/>
      <c r="K34" s="122"/>
      <c r="L34" s="122"/>
      <c r="M34" s="153"/>
    </row>
    <row r="35" spans="1:13">
      <c r="A35" s="154" t="s">
        <v>122</v>
      </c>
      <c r="G35" s="150">
        <v>3</v>
      </c>
      <c r="H35" s="155" t="s">
        <v>281</v>
      </c>
      <c r="I35" s="146">
        <v>22000</v>
      </c>
      <c r="J35" s="148"/>
      <c r="K35" s="122"/>
      <c r="L35" s="122"/>
      <c r="M35" s="153"/>
    </row>
    <row r="36" spans="1:13">
      <c r="A36" s="101" t="s">
        <v>123</v>
      </c>
      <c r="G36" s="150">
        <v>4</v>
      </c>
      <c r="H36" s="155" t="s">
        <v>282</v>
      </c>
      <c r="I36" s="146">
        <v>22000</v>
      </c>
      <c r="J36" s="148"/>
      <c r="K36" s="122"/>
      <c r="L36" s="122"/>
      <c r="M36" s="153"/>
    </row>
    <row r="37" spans="1:13">
      <c r="A37" s="278" t="s">
        <v>290</v>
      </c>
      <c r="G37" s="150">
        <v>5</v>
      </c>
      <c r="H37" s="155" t="s">
        <v>283</v>
      </c>
      <c r="I37" s="146">
        <v>22000</v>
      </c>
      <c r="J37" s="148"/>
      <c r="K37" s="122"/>
      <c r="L37" s="122"/>
      <c r="M37" s="153"/>
    </row>
    <row r="38" spans="1:13">
      <c r="A38" s="101" t="s">
        <v>124</v>
      </c>
      <c r="G38" s="150">
        <v>6</v>
      </c>
      <c r="H38" s="155" t="s">
        <v>284</v>
      </c>
      <c r="I38" s="146">
        <v>22000</v>
      </c>
      <c r="J38" s="148"/>
      <c r="K38" s="122"/>
      <c r="L38" s="122"/>
      <c r="M38" s="153"/>
    </row>
    <row r="39" spans="1:13">
      <c r="A39" s="277" t="s">
        <v>251</v>
      </c>
      <c r="G39" s="150">
        <v>7</v>
      </c>
      <c r="H39" s="155" t="s">
        <v>285</v>
      </c>
      <c r="I39" s="146">
        <v>22000</v>
      </c>
      <c r="J39" s="148"/>
      <c r="K39" s="122"/>
      <c r="L39" s="122"/>
      <c r="M39" s="153"/>
    </row>
    <row r="40" spans="1:13">
      <c r="A40" s="278" t="s">
        <v>276</v>
      </c>
      <c r="G40" s="150">
        <v>8</v>
      </c>
      <c r="H40" s="155" t="s">
        <v>286</v>
      </c>
      <c r="I40" s="146">
        <v>22000</v>
      </c>
      <c r="J40" s="148"/>
      <c r="K40" s="122"/>
      <c r="L40" s="122"/>
      <c r="M40" s="153"/>
    </row>
    <row r="41" spans="1:13">
      <c r="G41" s="150">
        <v>9</v>
      </c>
      <c r="H41" s="155" t="s">
        <v>287</v>
      </c>
      <c r="I41" s="146">
        <v>22000</v>
      </c>
      <c r="J41" s="148"/>
      <c r="K41" s="122"/>
      <c r="L41" s="122"/>
      <c r="M41" s="153"/>
    </row>
    <row r="42" spans="1:13">
      <c r="G42" s="150">
        <v>10</v>
      </c>
      <c r="H42" s="155" t="s">
        <v>288</v>
      </c>
      <c r="I42" s="146">
        <v>22000</v>
      </c>
      <c r="J42" s="148"/>
      <c r="K42" s="122"/>
      <c r="L42" s="122"/>
      <c r="M42" s="153"/>
    </row>
    <row r="43" spans="1:13" ht="13.5" thickBot="1">
      <c r="A43" s="101" t="s">
        <v>25</v>
      </c>
      <c r="G43" s="156">
        <v>11</v>
      </c>
      <c r="H43" s="157" t="s">
        <v>289</v>
      </c>
      <c r="I43" s="146">
        <v>22000</v>
      </c>
      <c r="J43" s="158"/>
      <c r="K43" s="122"/>
      <c r="L43" s="159"/>
      <c r="M43" s="153"/>
    </row>
    <row r="44" spans="1:13">
      <c r="A44" s="226"/>
      <c r="G44" s="160"/>
      <c r="H44" s="161"/>
      <c r="I44" s="162"/>
      <c r="J44" s="122"/>
      <c r="K44" s="122"/>
      <c r="L44" s="122"/>
      <c r="M44" s="153"/>
    </row>
    <row r="45" spans="1:13" ht="15.75">
      <c r="A45" s="108"/>
      <c r="G45" s="163" t="s">
        <v>125</v>
      </c>
      <c r="H45" s="144"/>
      <c r="I45" s="164">
        <f>SUM(I33:I43)</f>
        <v>242000</v>
      </c>
      <c r="J45" s="165"/>
      <c r="K45" s="119"/>
      <c r="L45" s="119"/>
      <c r="M45" s="119"/>
    </row>
    <row r="46" spans="1:13">
      <c r="B46" s="101" t="s">
        <v>1</v>
      </c>
      <c r="G46" s="113" t="s">
        <v>126</v>
      </c>
      <c r="H46" s="119"/>
      <c r="I46" s="166">
        <f>I11-I45</f>
        <v>125419</v>
      </c>
      <c r="J46" s="119"/>
      <c r="K46" s="119"/>
      <c r="L46" s="119"/>
      <c r="M46" s="119"/>
    </row>
    <row r="47" spans="1:13" ht="13.5" thickBot="1">
      <c r="A47" s="167"/>
      <c r="B47" s="101" t="s">
        <v>1</v>
      </c>
      <c r="G47" s="140" t="s">
        <v>127</v>
      </c>
      <c r="H47" s="143"/>
      <c r="I47" s="168">
        <f>SUM(I45:I46)</f>
        <v>367419</v>
      </c>
      <c r="J47" s="119"/>
      <c r="K47" s="119"/>
      <c r="L47" s="119"/>
      <c r="M47" s="119"/>
    </row>
  </sheetData>
  <phoneticPr fontId="4" type="noConversion"/>
  <pageMargins left="0.75" right="0.75" top="1" bottom="1" header="0.5" footer="0.5"/>
  <pageSetup paperSize="5" scale="74" orientation="landscape" r:id="rId1"/>
  <headerFooter alignWithMargins="0">
    <oddFooter>&amp;L&amp;D &amp;T &amp;F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Z187"/>
  <sheetViews>
    <sheetView showGridLines="0" topLeftCell="K13" zoomScaleNormal="100" workbookViewId="0">
      <selection activeCell="R22" sqref="R22"/>
    </sheetView>
  </sheetViews>
  <sheetFormatPr defaultColWidth="8" defaultRowHeight="15"/>
  <cols>
    <col min="1" max="1" width="1.44140625" customWidth="1"/>
    <col min="2" max="2" width="4.5546875" customWidth="1"/>
    <col min="3" max="3" width="9.21875" customWidth="1"/>
    <col min="4" max="9" width="12.33203125" customWidth="1"/>
    <col min="10" max="12" width="13.109375" customWidth="1"/>
    <col min="13" max="15" width="10.5546875" customWidth="1"/>
    <col min="16" max="16" width="11.33203125" customWidth="1"/>
    <col min="17" max="17" width="11" customWidth="1"/>
    <col min="18" max="18" width="14.21875" customWidth="1"/>
    <col min="19" max="19" width="12.21875" customWidth="1"/>
    <col min="20" max="20" width="1.44140625" hidden="1" customWidth="1"/>
    <col min="21" max="21" width="11.88671875" customWidth="1"/>
    <col min="22" max="22" width="8.88671875" customWidth="1"/>
    <col min="23" max="23" width="12.33203125" customWidth="1"/>
    <col min="24" max="24" width="1.44140625" customWidth="1"/>
    <col min="25" max="25" width="10.77734375" customWidth="1"/>
    <col min="26" max="26" width="1.44140625" customWidth="1"/>
    <col min="27" max="27" width="8" customWidth="1"/>
    <col min="28" max="28" width="1.44140625" customWidth="1"/>
    <col min="29" max="29" width="17.77734375" customWidth="1"/>
    <col min="30" max="30" width="1.44140625" customWidth="1"/>
    <col min="31" max="31" width="17.77734375" customWidth="1"/>
    <col min="32" max="32" width="1.44140625" customWidth="1"/>
  </cols>
  <sheetData>
    <row r="2" spans="1:25" ht="18.7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</row>
    <row r="3" spans="1:25" ht="18.75">
      <c r="C3" s="5"/>
      <c r="D3" s="5"/>
      <c r="E3" s="5"/>
      <c r="F3" s="5"/>
      <c r="G3" s="5"/>
      <c r="H3" s="5"/>
      <c r="I3" s="5"/>
      <c r="J3" s="5" t="s">
        <v>250</v>
      </c>
      <c r="K3" s="5"/>
      <c r="L3" s="5"/>
      <c r="M3" s="5"/>
      <c r="N3" s="5"/>
      <c r="O3" s="5"/>
      <c r="P3" s="5"/>
      <c r="Q3" s="6"/>
      <c r="R3" s="6"/>
    </row>
    <row r="4" spans="1:25" ht="15.75">
      <c r="H4" s="40"/>
      <c r="I4" s="40" t="s">
        <v>89</v>
      </c>
      <c r="J4" s="40"/>
      <c r="R4" s="6"/>
    </row>
    <row r="5" spans="1:25" ht="18">
      <c r="A5" s="32" t="s">
        <v>1</v>
      </c>
      <c r="B5" s="32"/>
      <c r="C5" s="32"/>
      <c r="D5" s="32"/>
      <c r="E5" s="32"/>
      <c r="F5" s="32"/>
      <c r="G5" s="32"/>
      <c r="H5" s="65"/>
      <c r="I5" s="32"/>
      <c r="J5" s="65" t="s">
        <v>137</v>
      </c>
      <c r="K5" s="32"/>
      <c r="L5" s="32"/>
      <c r="M5" s="32"/>
      <c r="N5" s="32"/>
      <c r="O5" s="32"/>
      <c r="P5" s="32"/>
      <c r="Q5" s="32"/>
      <c r="R5" s="32"/>
      <c r="S5" s="42"/>
      <c r="T5" s="32"/>
      <c r="U5" s="32"/>
      <c r="V5" s="32"/>
      <c r="W5" s="32"/>
    </row>
    <row r="6" spans="1: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5" s="40" customFormat="1" ht="15.75">
      <c r="A8" s="65"/>
      <c r="B8" s="65"/>
      <c r="C8" s="66" t="s">
        <v>77</v>
      </c>
      <c r="D8" s="66">
        <v>2003</v>
      </c>
      <c r="E8" s="66">
        <v>2010</v>
      </c>
      <c r="F8" s="66" t="s">
        <v>74</v>
      </c>
      <c r="G8" s="66">
        <v>2003</v>
      </c>
      <c r="H8" s="66">
        <v>2010</v>
      </c>
      <c r="I8" s="66" t="s">
        <v>74</v>
      </c>
      <c r="J8" s="66">
        <v>2003</v>
      </c>
      <c r="K8" s="66">
        <v>2010</v>
      </c>
      <c r="L8" s="66" t="s">
        <v>74</v>
      </c>
      <c r="M8" s="66">
        <v>2003</v>
      </c>
      <c r="N8" s="66">
        <v>2010</v>
      </c>
      <c r="O8" s="66" t="s">
        <v>74</v>
      </c>
      <c r="P8" s="66">
        <v>2010</v>
      </c>
      <c r="Q8" s="66">
        <v>2010</v>
      </c>
      <c r="R8" s="66"/>
      <c r="S8" s="66"/>
      <c r="T8" s="66"/>
      <c r="U8" s="66"/>
      <c r="V8" s="66"/>
      <c r="W8" s="65"/>
    </row>
    <row r="9" spans="1:25" ht="15.75">
      <c r="C9" s="67" t="s">
        <v>46</v>
      </c>
      <c r="D9" s="33" t="s">
        <v>72</v>
      </c>
      <c r="E9" s="81">
        <f>'oaa 2010'!C26-'2010 Svcs and Adm Alloca  updat'!D35</f>
        <v>1342275</v>
      </c>
      <c r="F9" s="66" t="s">
        <v>234</v>
      </c>
      <c r="G9" s="10" t="s">
        <v>70</v>
      </c>
      <c r="H9" s="81">
        <f>'oaa 2010'!D26-'2010 Svcs and Adm Alloca  updat'!G35</f>
        <v>5755246</v>
      </c>
      <c r="I9" s="66" t="s">
        <v>234</v>
      </c>
      <c r="J9" s="10" t="s">
        <v>71</v>
      </c>
      <c r="K9" s="81">
        <f>'oaa 2010'!E26-'2010 Svcs and Adm Alloca  updat'!J35</f>
        <v>2325505</v>
      </c>
      <c r="L9" s="66" t="s">
        <v>234</v>
      </c>
      <c r="M9" s="10" t="s">
        <v>73</v>
      </c>
      <c r="N9" s="81">
        <f>'oaa 2010'!G26-'2010 Svcs and Adm Alloca  updat'!M35</f>
        <v>190800</v>
      </c>
      <c r="O9" s="66" t="s">
        <v>234</v>
      </c>
      <c r="P9" s="67" t="s">
        <v>61</v>
      </c>
      <c r="Q9" s="67" t="s">
        <v>48</v>
      </c>
      <c r="R9" s="66" t="s">
        <v>234</v>
      </c>
      <c r="S9" s="271" t="s">
        <v>142</v>
      </c>
      <c r="T9" s="10"/>
      <c r="U9" s="10"/>
      <c r="V9" s="10"/>
    </row>
    <row r="10" spans="1:25" ht="15.75">
      <c r="B10" t="s">
        <v>66</v>
      </c>
      <c r="C10" s="67" t="s">
        <v>78</v>
      </c>
      <c r="D10" s="10" t="s">
        <v>69</v>
      </c>
      <c r="E10" s="33" t="s">
        <v>52</v>
      </c>
      <c r="F10" s="67" t="s">
        <v>81</v>
      </c>
      <c r="G10" s="10" t="s">
        <v>40</v>
      </c>
      <c r="H10" s="33" t="s">
        <v>52</v>
      </c>
      <c r="I10" s="67" t="s">
        <v>90</v>
      </c>
      <c r="J10" s="10" t="s">
        <v>50</v>
      </c>
      <c r="K10" s="33" t="s">
        <v>52</v>
      </c>
      <c r="L10" s="67" t="s">
        <v>82</v>
      </c>
      <c r="M10" s="10" t="s">
        <v>56</v>
      </c>
      <c r="N10" s="33" t="s">
        <v>52</v>
      </c>
      <c r="O10" s="67" t="s">
        <v>84</v>
      </c>
      <c r="P10" s="67" t="s">
        <v>25</v>
      </c>
      <c r="Q10" s="67" t="s">
        <v>25</v>
      </c>
      <c r="R10" s="67" t="s">
        <v>41</v>
      </c>
      <c r="S10" s="10" t="s">
        <v>41</v>
      </c>
      <c r="T10" s="10"/>
      <c r="U10" s="10"/>
      <c r="V10" s="30" t="s">
        <v>75</v>
      </c>
    </row>
    <row r="11" spans="1:25" ht="15.75">
      <c r="C11" s="67" t="s">
        <v>242</v>
      </c>
      <c r="D11" s="10" t="s">
        <v>67</v>
      </c>
      <c r="E11" s="10" t="s">
        <v>80</v>
      </c>
      <c r="F11" s="66" t="s">
        <v>69</v>
      </c>
      <c r="G11" s="10" t="s">
        <v>53</v>
      </c>
      <c r="H11" s="10" t="s">
        <v>80</v>
      </c>
      <c r="I11" s="66" t="s">
        <v>40</v>
      </c>
      <c r="J11" s="10" t="s">
        <v>53</v>
      </c>
      <c r="K11" s="10" t="s">
        <v>80</v>
      </c>
      <c r="L11" s="66" t="s">
        <v>83</v>
      </c>
      <c r="M11" s="10" t="s">
        <v>38</v>
      </c>
      <c r="N11" s="10" t="s">
        <v>80</v>
      </c>
      <c r="O11" s="66" t="s">
        <v>85</v>
      </c>
      <c r="P11" s="67" t="s">
        <v>27</v>
      </c>
      <c r="Q11" s="67" t="s">
        <v>27</v>
      </c>
      <c r="R11" s="67" t="s">
        <v>33</v>
      </c>
      <c r="S11" s="10" t="s">
        <v>30</v>
      </c>
      <c r="T11" s="10"/>
      <c r="U11" s="10" t="s">
        <v>43</v>
      </c>
      <c r="V11" s="31" t="s">
        <v>76</v>
      </c>
      <c r="W11" t="s">
        <v>62</v>
      </c>
    </row>
    <row r="12" spans="1:25" ht="16.5" thickBot="1">
      <c r="C12" s="67" t="s">
        <v>79</v>
      </c>
      <c r="D12" s="43"/>
      <c r="E12" s="43" t="s">
        <v>274</v>
      </c>
      <c r="F12" s="66" t="s">
        <v>67</v>
      </c>
      <c r="G12" s="43"/>
      <c r="H12" s="43" t="s">
        <v>274</v>
      </c>
      <c r="I12" s="66" t="s">
        <v>53</v>
      </c>
      <c r="J12" s="43"/>
      <c r="K12" s="43" t="s">
        <v>274</v>
      </c>
      <c r="L12" s="66" t="s">
        <v>53</v>
      </c>
      <c r="M12" s="43"/>
      <c r="N12" s="43" t="s">
        <v>274</v>
      </c>
      <c r="O12" s="66" t="s">
        <v>38</v>
      </c>
      <c r="P12" s="43" t="s">
        <v>274</v>
      </c>
      <c r="Q12" s="43" t="s">
        <v>274</v>
      </c>
      <c r="R12" s="67"/>
      <c r="S12" s="10"/>
      <c r="T12" s="10"/>
      <c r="U12" s="33"/>
      <c r="V12" s="33"/>
    </row>
    <row r="13" spans="1:25" ht="16.5" thickBot="1">
      <c r="A13" s="52"/>
      <c r="B13" s="53" t="s">
        <v>8</v>
      </c>
      <c r="C13" s="54">
        <v>3.1020299958736966E-2</v>
      </c>
      <c r="D13" s="55">
        <v>728288</v>
      </c>
      <c r="E13" s="45">
        <f>ROUND($E$9*$C13,0)+1</f>
        <v>41639</v>
      </c>
      <c r="F13" s="98">
        <f>SUM(D13:E13)</f>
        <v>769927</v>
      </c>
      <c r="G13" s="55">
        <v>699077</v>
      </c>
      <c r="H13" s="45">
        <f>ROUND($H$9*$C13,0)</f>
        <v>178529</v>
      </c>
      <c r="I13" s="82">
        <f>SUM(G13:H13)</f>
        <v>877606</v>
      </c>
      <c r="J13" s="58">
        <v>368452</v>
      </c>
      <c r="K13" s="57">
        <f>ROUND($K$9*$C13,0)</f>
        <v>72138</v>
      </c>
      <c r="L13" s="82">
        <f>SUM(J13:K13)</f>
        <v>440590</v>
      </c>
      <c r="M13" s="58">
        <v>276870</v>
      </c>
      <c r="N13" s="57">
        <f>ROUND($N$9*$C13,0)</f>
        <v>5919</v>
      </c>
      <c r="O13" s="82">
        <f>SUM(M13:N13)</f>
        <v>282789</v>
      </c>
      <c r="P13" s="82">
        <f>'2010 Admin Formula '!L13</f>
        <v>365139</v>
      </c>
      <c r="Q13" s="82">
        <v>15160</v>
      </c>
      <c r="R13" s="92">
        <f>+F13+I13+L13+O13+P13+Q13</f>
        <v>2751211</v>
      </c>
      <c r="S13" s="56">
        <v>2696869</v>
      </c>
      <c r="T13" s="55"/>
      <c r="U13" s="57">
        <f>R13-S13</f>
        <v>54342</v>
      </c>
      <c r="V13" s="59">
        <f>SUM(U13/S13)</f>
        <v>2.0150033242252403E-2</v>
      </c>
      <c r="W13" s="34">
        <f>+F13+I13+L13+O13</f>
        <v>2370912</v>
      </c>
      <c r="Y13" s="1"/>
    </row>
    <row r="14" spans="1:25" ht="15.75">
      <c r="A14" s="46"/>
      <c r="B14" s="49"/>
      <c r="C14" s="60"/>
      <c r="D14" s="61"/>
      <c r="E14" s="45"/>
      <c r="F14" s="90"/>
      <c r="G14" s="61"/>
      <c r="H14" s="45"/>
      <c r="I14" s="90"/>
      <c r="J14" s="61"/>
      <c r="K14" s="45"/>
      <c r="L14" s="83"/>
      <c r="M14" s="61"/>
      <c r="N14" s="44"/>
      <c r="O14" s="87"/>
      <c r="P14" s="83"/>
      <c r="Q14" s="83"/>
      <c r="R14" s="93"/>
      <c r="S14" s="62"/>
      <c r="T14" s="61"/>
      <c r="U14" s="44"/>
      <c r="V14" s="45"/>
      <c r="W14" s="34"/>
      <c r="Y14" s="1"/>
    </row>
    <row r="15" spans="1:25" ht="16.5" thickBot="1">
      <c r="A15" s="48"/>
      <c r="B15" s="25" t="s">
        <v>11</v>
      </c>
      <c r="C15" s="63">
        <v>3.7121761286243692E-2</v>
      </c>
      <c r="D15" s="28">
        <v>839980</v>
      </c>
      <c r="E15" s="20">
        <f>ROUND($E$9*$C15,0)</f>
        <v>49828</v>
      </c>
      <c r="F15" s="91">
        <f>SUM(D15:E15)</f>
        <v>889808</v>
      </c>
      <c r="G15" s="28">
        <v>806289</v>
      </c>
      <c r="H15" s="20">
        <f>ROUND($H$9*$C15,0)</f>
        <v>213645</v>
      </c>
      <c r="I15" s="91">
        <f>SUM(G15:H15)</f>
        <v>1019934</v>
      </c>
      <c r="J15" s="28">
        <v>424959</v>
      </c>
      <c r="K15" s="20">
        <f>ROUND($K$9*$C15,0)</f>
        <v>86327</v>
      </c>
      <c r="L15" s="84">
        <f>SUM(J15:K15)</f>
        <v>511286</v>
      </c>
      <c r="M15" s="28">
        <v>319331</v>
      </c>
      <c r="N15" s="17">
        <f>ROUND($N$9*$C15,0)</f>
        <v>7083</v>
      </c>
      <c r="O15" s="88">
        <f>SUM(M15:N15)</f>
        <v>326414</v>
      </c>
      <c r="P15" s="84">
        <f>'2010 Admin Formula '!L15</f>
        <v>498024</v>
      </c>
      <c r="Q15" s="84">
        <v>20677</v>
      </c>
      <c r="R15" s="94">
        <f>+F15+I15+L15+O15+P15+Q15</f>
        <v>3266143</v>
      </c>
      <c r="S15" s="29">
        <v>3184337</v>
      </c>
      <c r="T15" s="28"/>
      <c r="U15" s="17">
        <f>R15-S15</f>
        <v>81806</v>
      </c>
      <c r="V15" s="64">
        <f>SUM(U15/S15)</f>
        <v>2.5690120109774815E-2</v>
      </c>
      <c r="W15" s="34">
        <f>+F15+I15+L15+O15</f>
        <v>2747442</v>
      </c>
      <c r="Y15" s="1"/>
    </row>
    <row r="16" spans="1:25" ht="15.75">
      <c r="A16" s="47"/>
      <c r="B16" s="50"/>
      <c r="C16" s="8"/>
      <c r="D16" s="34"/>
      <c r="E16" s="19"/>
      <c r="F16" s="99"/>
      <c r="G16" s="16"/>
      <c r="H16" s="16"/>
      <c r="I16" s="85"/>
      <c r="J16" s="19"/>
      <c r="K16" s="19"/>
      <c r="L16" s="86"/>
      <c r="M16" s="26"/>
      <c r="N16" s="26"/>
      <c r="O16" s="89"/>
      <c r="P16" s="83"/>
      <c r="Q16" s="83"/>
      <c r="R16" s="95"/>
      <c r="S16" s="19"/>
      <c r="T16" s="34"/>
      <c r="U16" s="16"/>
      <c r="V16" s="19"/>
      <c r="W16" s="34"/>
      <c r="Y16" s="1"/>
    </row>
    <row r="17" spans="1:25" ht="16.5" thickBot="1">
      <c r="A17" s="47"/>
      <c r="B17" s="50" t="s">
        <v>13</v>
      </c>
      <c r="C17" s="51">
        <v>9.8324437897550354E-2</v>
      </c>
      <c r="D17" s="34">
        <v>2215211</v>
      </c>
      <c r="E17" s="20">
        <f>ROUND($E$9*$C17,0)</f>
        <v>131978</v>
      </c>
      <c r="F17" s="89">
        <f>SUM(D17:E17)</f>
        <v>2347189</v>
      </c>
      <c r="G17" s="16">
        <v>2126362</v>
      </c>
      <c r="H17" s="20">
        <f>ROUND($H$9*$C17,0)</f>
        <v>565881</v>
      </c>
      <c r="I17" s="86">
        <f>SUM(G17:H17)</f>
        <v>2692243</v>
      </c>
      <c r="J17" s="19">
        <v>1120710</v>
      </c>
      <c r="K17" s="19">
        <f>ROUND($K$9*$C17,0)</f>
        <v>228654</v>
      </c>
      <c r="L17" s="86">
        <f>SUM(J17:K17)</f>
        <v>1349364</v>
      </c>
      <c r="M17" s="26">
        <v>842147</v>
      </c>
      <c r="N17" s="16">
        <f>ROUND($N$9*$C17,0)</f>
        <v>18760</v>
      </c>
      <c r="O17" s="86">
        <f>SUM(M17:N17)</f>
        <v>860907</v>
      </c>
      <c r="P17" s="84">
        <f>'2010 Admin Formula '!L17</f>
        <v>938551</v>
      </c>
      <c r="Q17" s="84">
        <v>38968</v>
      </c>
      <c r="R17" s="94">
        <f>+F17+I17+L17+O17+P17+Q17</f>
        <v>8227222</v>
      </c>
      <c r="S17" s="29">
        <v>8066078</v>
      </c>
      <c r="T17" s="34"/>
      <c r="U17" s="16">
        <f>R17-S17</f>
        <v>161144</v>
      </c>
      <c r="V17" s="36">
        <f>SUM(U17/S17)</f>
        <v>1.9977986823335951E-2</v>
      </c>
      <c r="W17" s="34">
        <f>+F17+I17+L17+O17</f>
        <v>7249703</v>
      </c>
      <c r="Y17" s="1"/>
    </row>
    <row r="18" spans="1:25" ht="15.75">
      <c r="A18" s="46"/>
      <c r="B18" s="49"/>
      <c r="C18" s="60"/>
      <c r="D18" s="61"/>
      <c r="E18" s="45"/>
      <c r="F18" s="100"/>
      <c r="G18" s="44"/>
      <c r="H18" s="44"/>
      <c r="I18" s="87"/>
      <c r="J18" s="45"/>
      <c r="K18" s="45"/>
      <c r="L18" s="83"/>
      <c r="M18" s="62"/>
      <c r="N18" s="62"/>
      <c r="O18" s="90"/>
      <c r="P18" s="83"/>
      <c r="Q18" s="83"/>
      <c r="R18" s="96"/>
      <c r="S18" s="45"/>
      <c r="T18" s="61"/>
      <c r="U18" s="44"/>
      <c r="V18" s="45"/>
      <c r="W18" s="34"/>
      <c r="Y18" s="1"/>
    </row>
    <row r="19" spans="1:25" ht="16.5" thickBot="1">
      <c r="A19" s="48"/>
      <c r="B19" s="25" t="s">
        <v>14</v>
      </c>
      <c r="C19" s="63">
        <v>8.9671814178561599E-2</v>
      </c>
      <c r="D19" s="28">
        <v>1969794</v>
      </c>
      <c r="E19" s="20">
        <f>ROUND($E$9*$C19,0)</f>
        <v>120364</v>
      </c>
      <c r="F19" s="91">
        <f>SUM(D19:E19)</f>
        <v>2090158</v>
      </c>
      <c r="G19" s="17">
        <v>1890788</v>
      </c>
      <c r="H19" s="20">
        <f>ROUND($H$9*$C19,0)</f>
        <v>516083</v>
      </c>
      <c r="I19" s="84">
        <f>SUM(G19:H19)</f>
        <v>2406871</v>
      </c>
      <c r="J19" s="20">
        <v>996550</v>
      </c>
      <c r="K19" s="20">
        <f>ROUND($K$9*$C19,0)</f>
        <v>208532</v>
      </c>
      <c r="L19" s="84">
        <f>SUM(J19:K19)</f>
        <v>1205082</v>
      </c>
      <c r="M19" s="29">
        <v>748848</v>
      </c>
      <c r="N19" s="17">
        <f>ROUND($N$9*$C19,0)</f>
        <v>17109</v>
      </c>
      <c r="O19" s="84">
        <f>SUM(M19:N19)</f>
        <v>765957</v>
      </c>
      <c r="P19" s="84">
        <f>'2010 Admin Formula '!L19</f>
        <v>757872</v>
      </c>
      <c r="Q19" s="84">
        <v>31466</v>
      </c>
      <c r="R19" s="94">
        <f>+F19+I19+L19+O19+P19+Q19</f>
        <v>7257406</v>
      </c>
      <c r="S19" s="29">
        <v>7104704</v>
      </c>
      <c r="T19" s="28"/>
      <c r="U19" s="17">
        <f>R19-S19</f>
        <v>152702</v>
      </c>
      <c r="V19" s="64">
        <f>SUM(U19/S19)</f>
        <v>2.1493084018700849E-2</v>
      </c>
      <c r="W19" s="34">
        <f>+F19+I19+L19+O19</f>
        <v>6468068</v>
      </c>
      <c r="Y19" s="1"/>
    </row>
    <row r="20" spans="1:25" ht="15.75">
      <c r="A20" s="47"/>
      <c r="B20" s="50"/>
      <c r="C20" s="8"/>
      <c r="D20" s="34"/>
      <c r="E20" s="19"/>
      <c r="F20" s="99"/>
      <c r="G20" s="16"/>
      <c r="H20" s="45"/>
      <c r="I20" s="99"/>
      <c r="J20" s="19"/>
      <c r="K20" s="19"/>
      <c r="L20" s="86"/>
      <c r="M20" s="26"/>
      <c r="N20" s="26"/>
      <c r="O20" s="89"/>
      <c r="P20" s="86"/>
      <c r="Q20" s="86"/>
      <c r="R20" s="95"/>
      <c r="S20" s="19"/>
      <c r="T20" s="34"/>
      <c r="U20" s="16"/>
      <c r="V20" s="19"/>
      <c r="W20" s="34"/>
      <c r="Y20" s="1"/>
    </row>
    <row r="21" spans="1:25" ht="16.5" thickBot="1">
      <c r="A21" s="47"/>
      <c r="B21" s="50" t="s">
        <v>15</v>
      </c>
      <c r="C21" s="51">
        <v>7.6649547301827714E-2</v>
      </c>
      <c r="D21" s="34">
        <v>1821257</v>
      </c>
      <c r="E21" s="20">
        <f>ROUND($E$9*$C21,0)</f>
        <v>102885</v>
      </c>
      <c r="F21" s="89">
        <f>SUM(D21:E21)</f>
        <v>1924142</v>
      </c>
      <c r="G21" s="16">
        <v>1748209</v>
      </c>
      <c r="H21" s="20">
        <f>ROUND($H$9*$C21,0)</f>
        <v>441137</v>
      </c>
      <c r="I21" s="89">
        <f>SUM(G21:H21)</f>
        <v>2189346</v>
      </c>
      <c r="J21" s="19">
        <v>921403</v>
      </c>
      <c r="K21" s="19">
        <f>ROUND($K$9*$C21,0)</f>
        <v>178249</v>
      </c>
      <c r="L21" s="86">
        <f>SUM(J21:K21)</f>
        <v>1099652</v>
      </c>
      <c r="M21" s="26">
        <v>692379</v>
      </c>
      <c r="N21" s="16">
        <f>ROUND($N$9*$C21,0)</f>
        <v>14625</v>
      </c>
      <c r="O21" s="86">
        <f>SUM(M21:N21)</f>
        <v>707004</v>
      </c>
      <c r="P21" s="84">
        <f>'2010 Admin Formula '!L21</f>
        <v>688795</v>
      </c>
      <c r="Q21" s="84">
        <v>28598</v>
      </c>
      <c r="R21" s="94">
        <f>+F21+I21+L21+O21+P21+Q21</f>
        <v>6637537</v>
      </c>
      <c r="S21" s="29">
        <v>6534129</v>
      </c>
      <c r="T21" s="34"/>
      <c r="U21" s="16">
        <f>R21-S21</f>
        <v>103408</v>
      </c>
      <c r="V21" s="36">
        <f>SUM(U21/S21)</f>
        <v>1.5825827742305058E-2</v>
      </c>
      <c r="W21" s="34">
        <f>+F21+I21+L21+O21</f>
        <v>5920144</v>
      </c>
      <c r="Y21" s="1"/>
    </row>
    <row r="22" spans="1:25" ht="15.75">
      <c r="A22" s="46"/>
      <c r="B22" s="49"/>
      <c r="C22" s="60"/>
      <c r="D22" s="61"/>
      <c r="E22" s="45"/>
      <c r="F22" s="100"/>
      <c r="G22" s="44"/>
      <c r="H22" s="16"/>
      <c r="I22" s="87"/>
      <c r="J22" s="45"/>
      <c r="K22" s="45"/>
      <c r="L22" s="83"/>
      <c r="M22" s="62"/>
      <c r="N22" s="62"/>
      <c r="O22" s="90"/>
      <c r="P22" s="83"/>
      <c r="Q22" s="83"/>
      <c r="R22" s="96"/>
      <c r="S22" s="45"/>
      <c r="T22" s="61"/>
      <c r="U22" s="44"/>
      <c r="V22" s="45"/>
      <c r="W22" s="34"/>
      <c r="Y22" s="1"/>
    </row>
    <row r="23" spans="1:25" ht="16.5" thickBot="1">
      <c r="A23" s="48"/>
      <c r="B23" s="25" t="s">
        <v>17</v>
      </c>
      <c r="C23" s="63">
        <v>0.10848927972954844</v>
      </c>
      <c r="D23" s="28">
        <v>2535369</v>
      </c>
      <c r="E23" s="20">
        <f>ROUND($E$9*$C23,0)</f>
        <v>145622</v>
      </c>
      <c r="F23" s="91">
        <f>SUM(D23:E23)</f>
        <v>2680991</v>
      </c>
      <c r="G23" s="17">
        <v>2433679</v>
      </c>
      <c r="H23" s="20">
        <f>ROUND($H$9*$C23,0)</f>
        <v>624382</v>
      </c>
      <c r="I23" s="84">
        <f>SUM(G23:H23)</f>
        <v>3058061</v>
      </c>
      <c r="J23" s="20">
        <v>1282683</v>
      </c>
      <c r="K23" s="20">
        <f>ROUND($K$9*$C23,0)</f>
        <v>252292</v>
      </c>
      <c r="L23" s="84">
        <f>SUM(J23:K23)</f>
        <v>1534975</v>
      </c>
      <c r="M23" s="29">
        <v>963860</v>
      </c>
      <c r="N23" s="17">
        <f>ROUND($N$9*$C23,0)</f>
        <v>20700</v>
      </c>
      <c r="O23" s="84">
        <f>SUM(M23:N23)</f>
        <v>984560</v>
      </c>
      <c r="P23" s="84">
        <f>'2010 Admin Formula '!L23</f>
        <v>880822</v>
      </c>
      <c r="Q23" s="84">
        <v>36571</v>
      </c>
      <c r="R23" s="94">
        <f>+F23+I23+L23+O23+P23+Q23</f>
        <v>9175980</v>
      </c>
      <c r="S23" s="29">
        <v>9010050</v>
      </c>
      <c r="T23" s="28"/>
      <c r="U23" s="17">
        <f>R23-S23</f>
        <v>165930</v>
      </c>
      <c r="V23" s="64">
        <f>SUM(U23/S23)</f>
        <v>1.8416102019411656E-2</v>
      </c>
      <c r="W23" s="34">
        <f>+F23+I23+L23+O23-6000</f>
        <v>8252587</v>
      </c>
      <c r="Y23" s="1"/>
    </row>
    <row r="24" spans="1:25" ht="15.75">
      <c r="A24" s="47"/>
      <c r="B24" s="50"/>
      <c r="C24" s="8"/>
      <c r="D24" s="34"/>
      <c r="E24" s="19"/>
      <c r="F24" s="99"/>
      <c r="G24" s="16"/>
      <c r="H24" s="16"/>
      <c r="I24" s="85"/>
      <c r="J24" s="19"/>
      <c r="K24" s="19"/>
      <c r="L24" s="86"/>
      <c r="M24" s="26"/>
      <c r="N24" s="26"/>
      <c r="O24" s="89"/>
      <c r="P24" s="86"/>
      <c r="Q24" s="86"/>
      <c r="R24" s="95"/>
      <c r="S24" s="19"/>
      <c r="T24" s="34"/>
      <c r="U24" s="16"/>
      <c r="V24" s="19"/>
      <c r="W24" s="34"/>
      <c r="Y24" s="1"/>
    </row>
    <row r="25" spans="1:25" ht="16.5" thickBot="1">
      <c r="A25" s="47"/>
      <c r="B25" s="50" t="s">
        <v>21</v>
      </c>
      <c r="C25" s="51">
        <v>9.3068437903642845E-2</v>
      </c>
      <c r="D25" s="34">
        <v>1870352</v>
      </c>
      <c r="E25" s="20">
        <f>ROUND($E$9*$C25,0)</f>
        <v>124923</v>
      </c>
      <c r="F25" s="89">
        <f>SUM(D25:E25)</f>
        <v>1995275</v>
      </c>
      <c r="G25" s="16">
        <v>1795335</v>
      </c>
      <c r="H25" s="20">
        <f>ROUND($H$9*$C25,0)</f>
        <v>535632</v>
      </c>
      <c r="I25" s="86">
        <f>SUM(G25:H25)</f>
        <v>2330967</v>
      </c>
      <c r="J25" s="19">
        <v>946241</v>
      </c>
      <c r="K25" s="19">
        <f>ROUND($K$9*$C25,0)</f>
        <v>216431</v>
      </c>
      <c r="L25" s="86">
        <f>SUM(J25:K25)</f>
        <v>1162672</v>
      </c>
      <c r="M25" s="26">
        <v>711043</v>
      </c>
      <c r="N25" s="16">
        <f>ROUND($N$9*$C25,0)</f>
        <v>17757</v>
      </c>
      <c r="O25" s="86">
        <f>SUM(M25:N25)</f>
        <v>728800</v>
      </c>
      <c r="P25" s="84">
        <f>'2010 Admin Formula '!L25</f>
        <v>681772</v>
      </c>
      <c r="Q25" s="84">
        <v>28307</v>
      </c>
      <c r="R25" s="94">
        <f>+F25+I25+L25+O25+P25+Q25</f>
        <v>6927793</v>
      </c>
      <c r="S25" s="29">
        <v>6791720</v>
      </c>
      <c r="T25" s="34"/>
      <c r="U25" s="16">
        <f>R25-S25</f>
        <v>136073</v>
      </c>
      <c r="V25" s="36">
        <f>SUM(U25/S25)</f>
        <v>2.0035131012468121E-2</v>
      </c>
      <c r="W25" s="34">
        <f>+F25+I25+L25+O25</f>
        <v>6217714</v>
      </c>
      <c r="Y25" s="1"/>
    </row>
    <row r="26" spans="1:25" ht="15.75">
      <c r="A26" s="46"/>
      <c r="B26" s="49"/>
      <c r="C26" s="60"/>
      <c r="D26" s="61"/>
      <c r="E26" s="45"/>
      <c r="F26" s="100"/>
      <c r="G26" s="44"/>
      <c r="H26" s="44"/>
      <c r="I26" s="87"/>
      <c r="J26" s="45"/>
      <c r="K26" s="45"/>
      <c r="L26" s="83"/>
      <c r="M26" s="62"/>
      <c r="N26" s="62"/>
      <c r="O26" s="90"/>
      <c r="P26" s="83"/>
      <c r="Q26" s="83"/>
      <c r="R26" s="96"/>
      <c r="S26" s="45"/>
      <c r="T26" s="61"/>
      <c r="U26" s="44"/>
      <c r="V26" s="45"/>
      <c r="W26" s="34"/>
      <c r="Y26" s="1"/>
    </row>
    <row r="27" spans="1:25" ht="16.5" thickBot="1">
      <c r="A27" s="48"/>
      <c r="B27" s="25" t="s">
        <v>23</v>
      </c>
      <c r="C27" s="63">
        <v>8.9932282645722977E-2</v>
      </c>
      <c r="D27" s="28">
        <v>1920416</v>
      </c>
      <c r="E27" s="20">
        <f>ROUND($E$9*$C27,0)</f>
        <v>120714</v>
      </c>
      <c r="F27" s="91">
        <f>SUM(D27:E27)</f>
        <v>2041130</v>
      </c>
      <c r="G27" s="17">
        <v>1843391</v>
      </c>
      <c r="H27" s="20">
        <f>ROUND($H$9*$C27,0)</f>
        <v>517582</v>
      </c>
      <c r="I27" s="84">
        <f>SUM(G27:H27)</f>
        <v>2360973</v>
      </c>
      <c r="J27" s="20">
        <v>971569</v>
      </c>
      <c r="K27" s="20">
        <f>ROUND($K$9*$C27,0)</f>
        <v>209138</v>
      </c>
      <c r="L27" s="84">
        <f>SUM(J27:K27)</f>
        <v>1180707</v>
      </c>
      <c r="M27" s="29">
        <v>730076</v>
      </c>
      <c r="N27" s="17">
        <f>ROUND($N$9*$C27,0)</f>
        <v>17159</v>
      </c>
      <c r="O27" s="84">
        <f>SUM(M27:N27)</f>
        <v>747235</v>
      </c>
      <c r="P27" s="84">
        <f>'2010 Admin Formula '!L27</f>
        <v>793348</v>
      </c>
      <c r="Q27" s="84">
        <v>32939</v>
      </c>
      <c r="R27" s="94">
        <f>+F27+I27+L27+O27+P27+Q27</f>
        <v>7156332</v>
      </c>
      <c r="S27" s="29">
        <v>7038801</v>
      </c>
      <c r="T27" s="28"/>
      <c r="U27" s="17">
        <f>R27-S27</f>
        <v>117531</v>
      </c>
      <c r="V27" s="64">
        <f>SUM(U27/S27)</f>
        <v>1.6697588126159554E-2</v>
      </c>
      <c r="W27" s="34">
        <f>+F27+I27+L27+O27</f>
        <v>6330045</v>
      </c>
      <c r="Y27" s="1"/>
    </row>
    <row r="28" spans="1:25" ht="15.75">
      <c r="A28" s="47"/>
      <c r="B28" s="50"/>
      <c r="C28" s="8"/>
      <c r="D28" s="34"/>
      <c r="E28" s="19"/>
      <c r="F28" s="99"/>
      <c r="G28" s="16"/>
      <c r="H28" s="16"/>
      <c r="I28" s="85"/>
      <c r="J28" s="19"/>
      <c r="K28" s="19"/>
      <c r="L28" s="86"/>
      <c r="M28" s="26"/>
      <c r="N28" s="26"/>
      <c r="O28" s="89"/>
      <c r="P28" s="86"/>
      <c r="Q28" s="86"/>
      <c r="R28" s="95"/>
      <c r="S28" s="19"/>
      <c r="T28" s="34"/>
      <c r="U28" s="16"/>
      <c r="V28" s="19"/>
      <c r="W28" s="34"/>
      <c r="Y28" s="1"/>
    </row>
    <row r="29" spans="1:25" ht="16.5" thickBot="1">
      <c r="A29" s="47"/>
      <c r="B29" s="50" t="s">
        <v>24</v>
      </c>
      <c r="C29" s="51">
        <v>0.10284287667948488</v>
      </c>
      <c r="D29" s="34">
        <v>2307198</v>
      </c>
      <c r="E29" s="20">
        <f>ROUND($E$9*$C29,0)</f>
        <v>138043</v>
      </c>
      <c r="F29" s="89">
        <f>SUM(D29:E29)</f>
        <v>2445241</v>
      </c>
      <c r="G29" s="16">
        <v>2214659</v>
      </c>
      <c r="H29" s="20">
        <f>ROUND($H$9*$C29,0)</f>
        <v>591886</v>
      </c>
      <c r="I29" s="86">
        <f>SUM(G29:H29)</f>
        <v>2806545</v>
      </c>
      <c r="J29" s="19">
        <v>1167247</v>
      </c>
      <c r="K29" s="19">
        <f>ROUND($K$9*$C29,0)</f>
        <v>239162</v>
      </c>
      <c r="L29" s="86">
        <f>SUM(J29:K29)</f>
        <v>1406409</v>
      </c>
      <c r="M29" s="26">
        <v>877117</v>
      </c>
      <c r="N29" s="16">
        <f>ROUND($N$9*$C29,0)</f>
        <v>19622</v>
      </c>
      <c r="O29" s="86">
        <f>SUM(M29:N29)</f>
        <v>896739</v>
      </c>
      <c r="P29" s="84">
        <f>'2010 Admin Formula '!L29</f>
        <v>840917</v>
      </c>
      <c r="Q29" s="84">
        <v>34914</v>
      </c>
      <c r="R29" s="94">
        <f>+F29+I29+L29+O29+P29+Q29</f>
        <v>8430765</v>
      </c>
      <c r="S29" s="29">
        <v>8295091</v>
      </c>
      <c r="T29" s="34"/>
      <c r="U29" s="16">
        <f>R29-S29</f>
        <v>135674</v>
      </c>
      <c r="V29" s="36">
        <f>SUM(U29/S29)</f>
        <v>1.6355938711220888E-2</v>
      </c>
      <c r="W29" s="34">
        <f>+F29+I29+L29+O29</f>
        <v>7554934</v>
      </c>
      <c r="Y29" s="1"/>
    </row>
    <row r="30" spans="1:25" ht="15.75">
      <c r="A30" s="46"/>
      <c r="B30" s="49"/>
      <c r="C30" s="60"/>
      <c r="D30" s="61"/>
      <c r="E30" s="45"/>
      <c r="F30" s="100"/>
      <c r="G30" s="44"/>
      <c r="H30" s="44"/>
      <c r="I30" s="87"/>
      <c r="J30" s="45"/>
      <c r="K30" s="45"/>
      <c r="L30" s="83"/>
      <c r="M30" s="62"/>
      <c r="N30" s="62"/>
      <c r="O30" s="90"/>
      <c r="P30" s="83"/>
      <c r="Q30" s="83"/>
      <c r="R30" s="96"/>
      <c r="S30" s="45"/>
      <c r="T30" s="61"/>
      <c r="U30" s="44"/>
      <c r="V30" s="45"/>
      <c r="W30" s="34"/>
      <c r="Y30" s="1"/>
    </row>
    <row r="31" spans="1:25" ht="16.5" thickBot="1">
      <c r="A31" s="48"/>
      <c r="B31" s="25" t="s">
        <v>9</v>
      </c>
      <c r="C31" s="63">
        <v>8.2796725506703181E-2</v>
      </c>
      <c r="D31" s="28">
        <v>1906064</v>
      </c>
      <c r="E31" s="20">
        <f>ROUND($E$9*$C31,0)</f>
        <v>111136</v>
      </c>
      <c r="F31" s="91">
        <f>SUM(D31:E31)</f>
        <v>2017200</v>
      </c>
      <c r="G31" s="17">
        <v>1829614</v>
      </c>
      <c r="H31" s="20">
        <f>ROUND($H$9*$C31,0)</f>
        <v>476516</v>
      </c>
      <c r="I31" s="84">
        <f>SUM(G31:H31)</f>
        <v>2306130</v>
      </c>
      <c r="J31" s="20">
        <v>964307</v>
      </c>
      <c r="K31" s="20">
        <f>ROUND($K$9*$C31,0)</f>
        <v>192544</v>
      </c>
      <c r="L31" s="84">
        <f>SUM(J31:K31)</f>
        <v>1156851</v>
      </c>
      <c r="M31" s="29">
        <v>724619</v>
      </c>
      <c r="N31" s="17">
        <f>ROUND($N$9*$C31,0)</f>
        <v>15798</v>
      </c>
      <c r="O31" s="84">
        <f>SUM(M31:N31)</f>
        <v>740417</v>
      </c>
      <c r="P31" s="84">
        <f>'2010 Admin Formula '!L31</f>
        <v>666664</v>
      </c>
      <c r="Q31" s="84">
        <v>27679</v>
      </c>
      <c r="R31" s="94">
        <f>+F31+I31+L31+O31+P31+Q31</f>
        <v>6914941</v>
      </c>
      <c r="S31" s="29">
        <v>6811840</v>
      </c>
      <c r="T31" s="28"/>
      <c r="U31" s="17">
        <f>R31-S31</f>
        <v>103101</v>
      </c>
      <c r="V31" s="64">
        <f>SUM(U31/S31)</f>
        <v>1.5135558087095411E-2</v>
      </c>
      <c r="W31" s="34">
        <f>+F31+I31+L31+O31</f>
        <v>6220598</v>
      </c>
      <c r="Y31" s="1"/>
    </row>
    <row r="32" spans="1:25" ht="15.75">
      <c r="A32" s="46"/>
      <c r="B32" s="49"/>
      <c r="C32" s="60"/>
      <c r="D32" s="61"/>
      <c r="E32" s="19"/>
      <c r="F32" s="100"/>
      <c r="G32" s="44"/>
      <c r="H32" s="44"/>
      <c r="I32" s="87"/>
      <c r="J32" s="45"/>
      <c r="K32" s="45"/>
      <c r="L32" s="83"/>
      <c r="M32" s="62"/>
      <c r="N32" s="62"/>
      <c r="O32" s="90"/>
      <c r="P32" s="83"/>
      <c r="Q32" s="83"/>
      <c r="R32" s="96"/>
      <c r="S32" s="45"/>
      <c r="T32" s="61"/>
      <c r="U32" s="44"/>
      <c r="V32" s="45"/>
      <c r="W32" s="34"/>
      <c r="Y32" s="1"/>
    </row>
    <row r="33" spans="1:26" ht="16.5" thickBot="1">
      <c r="A33" s="48"/>
      <c r="B33" s="25" t="s">
        <v>10</v>
      </c>
      <c r="C33" s="63">
        <v>0.1900825369119773</v>
      </c>
      <c r="D33" s="28">
        <v>4401312</v>
      </c>
      <c r="E33" s="20">
        <f>ROUND($E$9*$C33,0)</f>
        <v>255143</v>
      </c>
      <c r="F33" s="91">
        <f>SUM(D33:E33)</f>
        <v>4656455</v>
      </c>
      <c r="G33" s="17">
        <f>4224784</f>
        <v>4224784</v>
      </c>
      <c r="H33" s="20">
        <f>ROUND($H$9*$C33,0)+1</f>
        <v>1093973</v>
      </c>
      <c r="I33" s="84">
        <f>SUM(G33:H33)</f>
        <v>5318757</v>
      </c>
      <c r="J33" s="20">
        <f>2226692</f>
        <v>2226692</v>
      </c>
      <c r="K33" s="20">
        <f>ROUND($K$9*$C33,0)</f>
        <v>442038</v>
      </c>
      <c r="L33" s="84">
        <f>SUM(J33:K33)</f>
        <v>2668730</v>
      </c>
      <c r="M33" s="29">
        <f>1673226</f>
        <v>1673226</v>
      </c>
      <c r="N33" s="17">
        <f>ROUND($N$9*$C33,0)</f>
        <v>36268</v>
      </c>
      <c r="O33" s="84">
        <f>SUM(M33:N33)</f>
        <v>1709494</v>
      </c>
      <c r="P33" s="84">
        <f>'2010 Admin Formula '!L33</f>
        <v>1245661</v>
      </c>
      <c r="Q33" s="84">
        <f>'2010 Admin Formula '!M33</f>
        <v>51719</v>
      </c>
      <c r="R33" s="94">
        <f>+F33+I33+L33+O33+P33+Q33</f>
        <v>15650816</v>
      </c>
      <c r="S33" s="29">
        <v>15325037</v>
      </c>
      <c r="T33" s="28"/>
      <c r="U33" s="17">
        <f>R33-S33</f>
        <v>325779</v>
      </c>
      <c r="V33" s="64">
        <f>SUM(U33/S33)</f>
        <v>2.1257958463656565E-2</v>
      </c>
      <c r="W33" s="34">
        <f>+F33+I33+L33+O33</f>
        <v>14353436</v>
      </c>
      <c r="Y33" s="1"/>
    </row>
    <row r="34" spans="1:26" ht="15.75">
      <c r="A34" s="47"/>
      <c r="B34" s="50"/>
      <c r="C34" s="8"/>
      <c r="D34" s="34"/>
      <c r="E34" s="16"/>
      <c r="F34" s="85"/>
      <c r="G34" s="16"/>
      <c r="H34" s="16"/>
      <c r="I34" s="85"/>
      <c r="J34" s="19"/>
      <c r="K34" s="19"/>
      <c r="L34" s="86"/>
      <c r="M34" s="26"/>
      <c r="N34" s="26"/>
      <c r="O34" s="89"/>
      <c r="P34" s="86"/>
      <c r="Q34" s="86"/>
      <c r="R34" s="95"/>
      <c r="S34" s="19"/>
      <c r="T34" s="34"/>
      <c r="U34" s="16"/>
      <c r="V34" s="19"/>
      <c r="W34" s="34"/>
      <c r="Y34" s="1"/>
    </row>
    <row r="35" spans="1:26" ht="15.75">
      <c r="A35" s="47"/>
      <c r="B35" s="50" t="s">
        <v>74</v>
      </c>
      <c r="C35" s="51">
        <f t="shared" ref="C35:O35" si="0">SUM(C13:C33)</f>
        <v>0.99999999999999989</v>
      </c>
      <c r="D35" s="34">
        <f t="shared" si="0"/>
        <v>22515241</v>
      </c>
      <c r="E35" s="16">
        <f t="shared" si="0"/>
        <v>1342275</v>
      </c>
      <c r="F35" s="85">
        <f t="shared" si="0"/>
        <v>23857516</v>
      </c>
      <c r="G35" s="16">
        <f t="shared" si="0"/>
        <v>21612187</v>
      </c>
      <c r="H35" s="16">
        <f t="shared" si="0"/>
        <v>5755246</v>
      </c>
      <c r="I35" s="85">
        <f t="shared" si="0"/>
        <v>27367433</v>
      </c>
      <c r="J35" s="19">
        <f t="shared" si="0"/>
        <v>11390813</v>
      </c>
      <c r="K35" s="16">
        <f t="shared" si="0"/>
        <v>2325505</v>
      </c>
      <c r="L35" s="86">
        <f t="shared" si="0"/>
        <v>13716318</v>
      </c>
      <c r="M35" s="26">
        <f t="shared" si="0"/>
        <v>8559516</v>
      </c>
      <c r="N35" s="19">
        <f t="shared" si="0"/>
        <v>190800</v>
      </c>
      <c r="O35" s="89">
        <f t="shared" si="0"/>
        <v>8750316</v>
      </c>
      <c r="P35" s="86">
        <f>SUM(P13:P33)</f>
        <v>8357565</v>
      </c>
      <c r="Q35" s="86">
        <f>SUM(Q13:Q33)</f>
        <v>346998</v>
      </c>
      <c r="R35" s="95">
        <f>SUM(R13:R33)</f>
        <v>82396146</v>
      </c>
      <c r="S35" s="19">
        <v>80858656</v>
      </c>
      <c r="T35" s="2"/>
      <c r="U35" s="16">
        <f>SUM(U13:U33)</f>
        <v>1537490</v>
      </c>
      <c r="V35" s="36">
        <f>SUM(U35/S35)</f>
        <v>1.9014538159031483E-2</v>
      </c>
      <c r="W35" s="35">
        <f>SUM(W13:W33)</f>
        <v>73685583</v>
      </c>
      <c r="X35" s="2"/>
      <c r="Y35" s="1"/>
      <c r="Z35" s="2"/>
    </row>
    <row r="36" spans="1:26" ht="16.5" thickBot="1">
      <c r="A36" s="48"/>
      <c r="B36" s="25"/>
      <c r="C36" s="9"/>
      <c r="D36" s="28"/>
      <c r="E36" s="17"/>
      <c r="F36" s="88"/>
      <c r="G36" s="17"/>
      <c r="H36" s="17"/>
      <c r="I36" s="88"/>
      <c r="J36" s="20"/>
      <c r="K36" s="20"/>
      <c r="L36" s="84"/>
      <c r="M36" s="29"/>
      <c r="N36" s="29"/>
      <c r="O36" s="91"/>
      <c r="P36" s="84"/>
      <c r="Q36" s="84"/>
      <c r="R36" s="97"/>
      <c r="S36" s="20"/>
      <c r="T36" s="28"/>
      <c r="U36" s="17"/>
      <c r="V36" s="20"/>
      <c r="W36" s="32"/>
      <c r="Y36" s="1"/>
    </row>
    <row r="37" spans="1:26">
      <c r="D37" s="2"/>
      <c r="E37" s="2"/>
      <c r="F37" s="2"/>
      <c r="Q37" s="2"/>
      <c r="U37" s="32"/>
      <c r="V37" s="32"/>
      <c r="Y37" s="1"/>
    </row>
    <row r="38" spans="1:26">
      <c r="D38" s="2"/>
      <c r="E38" s="2"/>
      <c r="F38" s="2"/>
      <c r="Q38" s="2"/>
    </row>
    <row r="39" spans="1:26">
      <c r="D39" s="2"/>
      <c r="E39" s="2"/>
      <c r="F39" s="2"/>
    </row>
    <row r="40" spans="1:26">
      <c r="A40" s="41"/>
      <c r="D40" s="2"/>
      <c r="E40" s="2"/>
      <c r="F40" s="2"/>
      <c r="R40" s="4"/>
    </row>
    <row r="42" spans="1:26">
      <c r="D42" s="2"/>
      <c r="E42" s="2"/>
      <c r="F42" s="2"/>
      <c r="R42" s="37"/>
    </row>
    <row r="43" spans="1:26">
      <c r="R43" s="4"/>
    </row>
    <row r="46" spans="1:26">
      <c r="G46" t="s">
        <v>2</v>
      </c>
    </row>
    <row r="61" spans="3:16">
      <c r="C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3:16">
      <c r="C62" s="2"/>
    </row>
    <row r="63" spans="3:16">
      <c r="C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3:16">
      <c r="C64" s="2"/>
    </row>
    <row r="65" spans="3:16">
      <c r="C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>
      <c r="C66" s="2"/>
    </row>
    <row r="67" spans="3:16">
      <c r="C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3:16">
      <c r="C68" s="2"/>
    </row>
    <row r="69" spans="3:16">
      <c r="C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3:16">
      <c r="C70" s="2"/>
    </row>
    <row r="71" spans="3:16">
      <c r="C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3:16">
      <c r="C72" s="2"/>
    </row>
    <row r="73" spans="3:16">
      <c r="C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>
      <c r="C74" s="2"/>
    </row>
    <row r="75" spans="3:16">
      <c r="C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2"/>
    </row>
    <row r="77" spans="3:16">
      <c r="C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3:16">
      <c r="C78" s="2"/>
    </row>
    <row r="79" spans="3:16">
      <c r="C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3:16">
      <c r="C80" s="2"/>
    </row>
    <row r="81" spans="3:16">
      <c r="C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3:16">
      <c r="C82" s="2"/>
      <c r="G82" s="2"/>
      <c r="H82" s="2"/>
      <c r="I82" s="2"/>
    </row>
    <row r="83" spans="3:16">
      <c r="C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104" spans="4:9">
      <c r="G104" s="2"/>
      <c r="H104" s="2"/>
      <c r="I104" s="2"/>
    </row>
    <row r="106" spans="4:9">
      <c r="G106" s="2"/>
      <c r="H106" s="2"/>
      <c r="I106" s="2"/>
    </row>
    <row r="107" spans="4:9">
      <c r="G107" s="2"/>
      <c r="H107" s="2"/>
      <c r="I107" s="2"/>
    </row>
    <row r="108" spans="4:9">
      <c r="G108" s="2"/>
      <c r="H108" s="2"/>
      <c r="I108" s="2"/>
    </row>
    <row r="109" spans="4:9">
      <c r="D109" s="2"/>
      <c r="E109" s="2"/>
      <c r="F109" s="2"/>
      <c r="G109" s="2"/>
      <c r="H109" s="2"/>
      <c r="I109" s="2"/>
    </row>
    <row r="110" spans="4:9">
      <c r="D110" s="2"/>
      <c r="E110" s="2"/>
      <c r="F110" s="2"/>
      <c r="G110" s="2"/>
      <c r="H110" s="2"/>
      <c r="I110" s="2"/>
    </row>
    <row r="111" spans="4:9">
      <c r="D111" s="2"/>
      <c r="E111" s="2"/>
      <c r="F111" s="2"/>
      <c r="G111" s="2"/>
      <c r="H111" s="2"/>
      <c r="I111" s="2"/>
    </row>
    <row r="112" spans="4:9">
      <c r="D112" s="2"/>
      <c r="E112" s="2"/>
      <c r="F112" s="2"/>
      <c r="G112" s="2"/>
      <c r="H112" s="2"/>
      <c r="I112" s="2"/>
    </row>
    <row r="113" spans="3:25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R113" s="2"/>
      <c r="S113" s="2"/>
      <c r="W113" s="3"/>
      <c r="Y113" s="3"/>
    </row>
    <row r="114" spans="3:25">
      <c r="D114" s="2"/>
      <c r="E114" s="2"/>
      <c r="F114" s="2"/>
      <c r="G114" s="2"/>
      <c r="H114" s="2"/>
      <c r="I114" s="2"/>
      <c r="P114" s="2"/>
      <c r="W114" s="3"/>
    </row>
    <row r="115" spans="3: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R115" s="2"/>
      <c r="S115" s="2"/>
      <c r="W115" s="3"/>
      <c r="Y115" s="3"/>
    </row>
    <row r="116" spans="3:25">
      <c r="D116" s="2"/>
      <c r="E116" s="2"/>
      <c r="F116" s="2"/>
      <c r="G116" s="2"/>
      <c r="H116" s="2"/>
      <c r="I116" s="2"/>
      <c r="P116" s="2"/>
      <c r="W116" s="3"/>
    </row>
    <row r="117" spans="3: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R117" s="2"/>
      <c r="S117" s="2"/>
      <c r="W117" s="3"/>
      <c r="Y117" s="3"/>
    </row>
    <row r="118" spans="3:25">
      <c r="D118" s="2"/>
      <c r="E118" s="2"/>
      <c r="F118" s="2"/>
      <c r="G118" s="2"/>
      <c r="H118" s="2"/>
      <c r="I118" s="2"/>
      <c r="P118" s="2"/>
      <c r="W118" s="3"/>
    </row>
    <row r="119" spans="3: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R119" s="2"/>
      <c r="S119" s="2"/>
      <c r="W119" s="3"/>
      <c r="Y119" s="3"/>
    </row>
    <row r="120" spans="3:25">
      <c r="D120" s="2"/>
      <c r="E120" s="2"/>
      <c r="F120" s="2"/>
      <c r="G120" s="2"/>
      <c r="H120" s="2"/>
      <c r="I120" s="2"/>
      <c r="P120" s="2"/>
    </row>
    <row r="121" spans="3: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R121" s="2"/>
      <c r="S121" s="2"/>
      <c r="W121" s="3"/>
      <c r="Y121" s="3"/>
    </row>
    <row r="122" spans="3:25">
      <c r="D122" s="2"/>
      <c r="E122" s="2"/>
      <c r="F122" s="2"/>
      <c r="G122" s="2"/>
      <c r="H122" s="2"/>
      <c r="I122" s="2"/>
      <c r="P122" s="2"/>
      <c r="W122" s="3"/>
    </row>
    <row r="123" spans="3: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R123" s="2"/>
      <c r="S123" s="2"/>
      <c r="W123" s="3"/>
      <c r="Y123" s="3"/>
    </row>
    <row r="124" spans="3:25">
      <c r="D124" s="2"/>
      <c r="E124" s="2"/>
      <c r="F124" s="2"/>
      <c r="G124" s="2"/>
      <c r="H124" s="2"/>
      <c r="I124" s="2"/>
      <c r="P124" s="2"/>
      <c r="W124" s="3"/>
    </row>
    <row r="125" spans="3: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R125" s="2"/>
      <c r="S125" s="2"/>
      <c r="W125" s="3"/>
      <c r="Y125" s="3"/>
    </row>
    <row r="126" spans="3:25">
      <c r="D126" s="2"/>
      <c r="E126" s="2"/>
      <c r="F126" s="2"/>
      <c r="G126" s="2"/>
      <c r="H126" s="2"/>
      <c r="I126" s="2"/>
      <c r="P126" s="2"/>
      <c r="W126" s="3"/>
    </row>
    <row r="127" spans="3: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R127" s="2"/>
      <c r="S127" s="2"/>
      <c r="W127" s="3"/>
      <c r="Y127" s="3"/>
    </row>
    <row r="128" spans="3:25">
      <c r="D128" s="2"/>
      <c r="E128" s="2"/>
      <c r="F128" s="2"/>
      <c r="G128" s="2"/>
      <c r="H128" s="2"/>
      <c r="I128" s="2"/>
      <c r="P128" s="2"/>
    </row>
    <row r="129" spans="3: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R129" s="2"/>
      <c r="S129" s="2"/>
      <c r="W129" s="3"/>
      <c r="Y129" s="3"/>
    </row>
    <row r="130" spans="3:25">
      <c r="D130" s="2"/>
      <c r="E130" s="2"/>
      <c r="F130" s="2"/>
      <c r="G130" s="2"/>
      <c r="H130" s="2"/>
      <c r="I130" s="2"/>
      <c r="P130" s="2"/>
      <c r="W130" s="3"/>
    </row>
    <row r="131" spans="3:2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R131" s="2"/>
      <c r="S131" s="2"/>
      <c r="W131" s="3"/>
      <c r="Y131" s="3"/>
    </row>
    <row r="132" spans="3:25">
      <c r="D132" s="2"/>
      <c r="E132" s="2"/>
      <c r="F132" s="2"/>
      <c r="G132" s="2"/>
      <c r="H132" s="2"/>
      <c r="I132" s="2"/>
      <c r="P132" s="2"/>
      <c r="W132" s="3"/>
    </row>
    <row r="133" spans="3:25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R133" s="2"/>
      <c r="S133" s="2"/>
      <c r="W133" s="3"/>
      <c r="Y133" s="3"/>
    </row>
    <row r="134" spans="3:25">
      <c r="D134" s="2"/>
      <c r="E134" s="2"/>
      <c r="F134" s="2"/>
      <c r="G134" s="2"/>
      <c r="H134" s="2"/>
      <c r="I134" s="2"/>
      <c r="P134" s="2"/>
      <c r="W134" s="3"/>
    </row>
    <row r="135" spans="3:2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R135" s="2"/>
      <c r="S135" s="2"/>
      <c r="W135" s="3"/>
      <c r="Y135" s="3"/>
    </row>
    <row r="136" spans="3:25">
      <c r="P136" s="2"/>
    </row>
    <row r="140" spans="3:25">
      <c r="Y140" t="s">
        <v>22</v>
      </c>
    </row>
    <row r="142" spans="3:25">
      <c r="C142" s="2"/>
    </row>
    <row r="165" spans="3:9">
      <c r="C165" s="3"/>
      <c r="G165" s="2"/>
      <c r="H165" s="2"/>
      <c r="I165" s="2"/>
    </row>
    <row r="166" spans="3:9">
      <c r="C166" s="2"/>
      <c r="G166" s="2"/>
      <c r="H166" s="2"/>
      <c r="I166" s="2"/>
    </row>
    <row r="167" spans="3:9">
      <c r="C167" s="3"/>
      <c r="G167" s="2"/>
      <c r="H167" s="2"/>
      <c r="I167" s="2"/>
    </row>
    <row r="168" spans="3:9">
      <c r="C168" s="2"/>
      <c r="G168" s="2"/>
      <c r="H168" s="2"/>
      <c r="I168" s="2"/>
    </row>
    <row r="169" spans="3:9">
      <c r="C169" s="3"/>
      <c r="G169" s="2"/>
      <c r="H169" s="2"/>
      <c r="I169" s="2"/>
    </row>
    <row r="170" spans="3:9">
      <c r="C170" s="2"/>
      <c r="G170" s="2"/>
      <c r="H170" s="2"/>
      <c r="I170" s="2"/>
    </row>
    <row r="171" spans="3:9">
      <c r="C171" s="3"/>
      <c r="G171" s="2"/>
      <c r="H171" s="2"/>
      <c r="I171" s="2"/>
    </row>
    <row r="172" spans="3:9">
      <c r="C172" s="2"/>
      <c r="G172" s="2"/>
      <c r="H172" s="2"/>
      <c r="I172" s="2"/>
    </row>
    <row r="173" spans="3:9">
      <c r="C173" s="3"/>
      <c r="G173" s="2"/>
      <c r="H173" s="2"/>
      <c r="I173" s="2"/>
    </row>
    <row r="174" spans="3:9">
      <c r="C174" s="2"/>
      <c r="G174" s="2"/>
      <c r="H174" s="2"/>
      <c r="I174" s="2"/>
    </row>
    <row r="175" spans="3:9">
      <c r="C175" s="3"/>
      <c r="G175" s="2"/>
      <c r="H175" s="2"/>
      <c r="I175" s="2"/>
    </row>
    <row r="176" spans="3:9">
      <c r="C176" s="2"/>
      <c r="G176" s="2"/>
      <c r="H176" s="2"/>
      <c r="I176" s="2"/>
    </row>
    <row r="177" spans="3:9">
      <c r="C177" s="3"/>
      <c r="G177" s="2"/>
      <c r="H177" s="2"/>
      <c r="I177" s="2"/>
    </row>
    <row r="178" spans="3:9">
      <c r="C178" s="2"/>
      <c r="G178" s="2"/>
      <c r="H178" s="2"/>
      <c r="I178" s="2"/>
    </row>
    <row r="179" spans="3:9">
      <c r="C179" s="3"/>
      <c r="G179" s="2"/>
      <c r="H179" s="2"/>
      <c r="I179" s="2"/>
    </row>
    <row r="180" spans="3:9">
      <c r="C180" s="2"/>
      <c r="G180" s="2"/>
      <c r="H180" s="2"/>
      <c r="I180" s="2"/>
    </row>
    <row r="181" spans="3:9">
      <c r="C181" s="3"/>
      <c r="G181" s="2"/>
      <c r="H181" s="2"/>
      <c r="I181" s="2"/>
    </row>
    <row r="182" spans="3:9">
      <c r="C182" s="2"/>
      <c r="G182" s="2"/>
      <c r="H182" s="2"/>
      <c r="I182" s="2"/>
    </row>
    <row r="183" spans="3:9">
      <c r="C183" s="3"/>
      <c r="G183" s="2"/>
      <c r="H183" s="2"/>
      <c r="I183" s="2"/>
    </row>
    <row r="184" spans="3:9">
      <c r="C184" s="2"/>
      <c r="G184" s="2"/>
      <c r="H184" s="2"/>
      <c r="I184" s="2"/>
    </row>
    <row r="185" spans="3:9">
      <c r="C185" s="3"/>
      <c r="G185" s="2"/>
      <c r="H185" s="2"/>
      <c r="I185" s="2"/>
    </row>
    <row r="186" spans="3:9">
      <c r="C186" s="2"/>
      <c r="G186" s="2"/>
      <c r="H186" s="2"/>
      <c r="I186" s="2"/>
    </row>
    <row r="187" spans="3:9">
      <c r="C187" s="3"/>
      <c r="G187" s="2"/>
      <c r="H187" s="2"/>
      <c r="I187" s="2"/>
    </row>
  </sheetData>
  <phoneticPr fontId="6" type="noConversion"/>
  <pageMargins left="0.5" right="0" top="0.5" bottom="0.5" header="0.5" footer="0.5"/>
  <pageSetup paperSize="5"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AL187"/>
  <sheetViews>
    <sheetView showGridLines="0" view="pageBreakPreview" topLeftCell="H13" zoomScaleNormal="75" workbookViewId="0"/>
  </sheetViews>
  <sheetFormatPr defaultRowHeight="15"/>
  <cols>
    <col min="1" max="1" width="1.44140625" style="279" customWidth="1"/>
    <col min="2" max="2" width="4.5546875" style="279" customWidth="1"/>
    <col min="3" max="3" width="9.21875" style="279" customWidth="1"/>
    <col min="4" max="4" width="14.109375" style="279" bestFit="1" customWidth="1"/>
    <col min="5" max="5" width="12.33203125" style="279" customWidth="1"/>
    <col min="6" max="6" width="13" style="279" bestFit="1" customWidth="1"/>
    <col min="7" max="7" width="14" style="279" customWidth="1"/>
    <col min="8" max="8" width="14.109375" style="279" bestFit="1" customWidth="1"/>
    <col min="9" max="9" width="14" style="279" bestFit="1" customWidth="1"/>
    <col min="10" max="10" width="14.5546875" style="279" customWidth="1"/>
    <col min="11" max="11" width="14.44140625" style="279" customWidth="1"/>
    <col min="12" max="12" width="13.77734375" style="279" customWidth="1"/>
    <col min="13" max="14" width="13.109375" style="279" customWidth="1"/>
    <col min="15" max="15" width="14" style="279" customWidth="1"/>
    <col min="16" max="18" width="13.109375" style="284" customWidth="1"/>
    <col min="19" max="22" width="13.109375" style="279" customWidth="1"/>
    <col min="23" max="23" width="12.88671875" style="279" customWidth="1"/>
    <col min="24" max="24" width="11.77734375" style="279" customWidth="1"/>
    <col min="25" max="25" width="13" style="279" bestFit="1" customWidth="1"/>
    <col min="26" max="26" width="11.77734375" style="284" customWidth="1"/>
    <col min="27" max="27" width="12.88671875" style="284" customWidth="1"/>
    <col min="28" max="28" width="13.109375" style="279" customWidth="1"/>
    <col min="29" max="29" width="11.33203125" style="279" customWidth="1"/>
    <col min="30" max="30" width="14.21875" style="279" customWidth="1"/>
    <col min="31" max="31" width="12.21875" style="279" customWidth="1"/>
    <col min="32" max="32" width="0" style="279" hidden="1" customWidth="1"/>
    <col min="33" max="33" width="11.88671875" style="279" customWidth="1"/>
    <col min="34" max="34" width="8.88671875" style="283" customWidth="1"/>
    <col min="35" max="35" width="12.33203125" style="279" customWidth="1"/>
    <col min="36" max="36" width="1.44140625" style="279" customWidth="1"/>
    <col min="37" max="37" width="10.77734375" style="279" customWidth="1"/>
    <col min="38" max="38" width="1.44140625" style="279" customWidth="1"/>
    <col min="39" max="39" width="8" style="279" customWidth="1"/>
    <col min="40" max="40" width="1.44140625" style="279" customWidth="1"/>
    <col min="41" max="41" width="17.77734375" style="279" customWidth="1"/>
    <col min="42" max="42" width="1.44140625" style="279" customWidth="1"/>
    <col min="43" max="43" width="17.77734375" style="279" customWidth="1"/>
    <col min="44" max="44" width="1.44140625" style="279" customWidth="1"/>
    <col min="45" max="253" width="8" style="279"/>
    <col min="254" max="254" width="1.44140625" style="279" customWidth="1"/>
    <col min="255" max="255" width="4.5546875" style="279" customWidth="1"/>
    <col min="256" max="256" width="9.21875" style="279" customWidth="1"/>
    <col min="257" max="257" width="14.109375" style="279" bestFit="1" customWidth="1"/>
    <col min="258" max="259" width="12.33203125" style="279" customWidth="1"/>
    <col min="260" max="260" width="13" style="279" bestFit="1" customWidth="1"/>
    <col min="261" max="261" width="14" style="279" customWidth="1"/>
    <col min="262" max="262" width="14.109375" style="279" bestFit="1" customWidth="1"/>
    <col min="263" max="264" width="12.33203125" style="279" customWidth="1"/>
    <col min="265" max="265" width="14.5546875" style="279" customWidth="1"/>
    <col min="266" max="266" width="14.44140625" style="279" customWidth="1"/>
    <col min="267" max="267" width="13.77734375" style="279" customWidth="1"/>
    <col min="268" max="270" width="13.109375" style="279" customWidth="1"/>
    <col min="271" max="271" width="14" style="279" customWidth="1"/>
    <col min="272" max="277" width="13.109375" style="279" customWidth="1"/>
    <col min="278" max="278" width="12.88671875" style="279" customWidth="1"/>
    <col min="279" max="279" width="10.5546875" style="279" customWidth="1"/>
    <col min="280" max="280" width="11.77734375" style="279" customWidth="1"/>
    <col min="281" max="281" width="13" style="279" bestFit="1" customWidth="1"/>
    <col min="282" max="282" width="11.77734375" style="279" customWidth="1"/>
    <col min="283" max="283" width="12.88671875" style="279" customWidth="1"/>
    <col min="284" max="284" width="13.109375" style="279" customWidth="1"/>
    <col min="285" max="285" width="11.33203125" style="279" customWidth="1"/>
    <col min="286" max="286" width="14.21875" style="279" customWidth="1"/>
    <col min="287" max="287" width="12.21875" style="279" customWidth="1"/>
    <col min="288" max="288" width="0" style="279" hidden="1" customWidth="1"/>
    <col min="289" max="289" width="11.88671875" style="279" customWidth="1"/>
    <col min="290" max="290" width="8.88671875" style="279" customWidth="1"/>
    <col min="291" max="291" width="12.33203125" style="279" customWidth="1"/>
    <col min="292" max="292" width="1.44140625" style="279" customWidth="1"/>
    <col min="293" max="293" width="10.77734375" style="279" customWidth="1"/>
    <col min="294" max="294" width="1.44140625" style="279" customWidth="1"/>
    <col min="295" max="295" width="8" style="279" customWidth="1"/>
    <col min="296" max="296" width="1.44140625" style="279" customWidth="1"/>
    <col min="297" max="297" width="17.77734375" style="279" customWidth="1"/>
    <col min="298" max="298" width="1.44140625" style="279" customWidth="1"/>
    <col min="299" max="299" width="17.77734375" style="279" customWidth="1"/>
    <col min="300" max="300" width="1.44140625" style="279" customWidth="1"/>
    <col min="301" max="509" width="8" style="279"/>
    <col min="510" max="510" width="1.44140625" style="279" customWidth="1"/>
    <col min="511" max="511" width="4.5546875" style="279" customWidth="1"/>
    <col min="512" max="512" width="9.21875" style="279" customWidth="1"/>
    <col min="513" max="513" width="14.109375" style="279" bestFit="1" customWidth="1"/>
    <col min="514" max="515" width="12.33203125" style="279" customWidth="1"/>
    <col min="516" max="516" width="13" style="279" bestFit="1" customWidth="1"/>
    <col min="517" max="517" width="14" style="279" customWidth="1"/>
    <col min="518" max="518" width="14.109375" style="279" bestFit="1" customWidth="1"/>
    <col min="519" max="520" width="12.33203125" style="279" customWidth="1"/>
    <col min="521" max="521" width="14.5546875" style="279" customWidth="1"/>
    <col min="522" max="522" width="14.44140625" style="279" customWidth="1"/>
    <col min="523" max="523" width="13.77734375" style="279" customWidth="1"/>
    <col min="524" max="526" width="13.109375" style="279" customWidth="1"/>
    <col min="527" max="527" width="14" style="279" customWidth="1"/>
    <col min="528" max="533" width="13.109375" style="279" customWidth="1"/>
    <col min="534" max="534" width="12.88671875" style="279" customWidth="1"/>
    <col min="535" max="535" width="10.5546875" style="279" customWidth="1"/>
    <col min="536" max="536" width="11.77734375" style="279" customWidth="1"/>
    <col min="537" max="537" width="13" style="279" bestFit="1" customWidth="1"/>
    <col min="538" max="538" width="11.77734375" style="279" customWidth="1"/>
    <col min="539" max="539" width="12.88671875" style="279" customWidth="1"/>
    <col min="540" max="540" width="13.109375" style="279" customWidth="1"/>
    <col min="541" max="541" width="11.33203125" style="279" customWidth="1"/>
    <col min="542" max="542" width="14.21875" style="279" customWidth="1"/>
    <col min="543" max="543" width="12.21875" style="279" customWidth="1"/>
    <col min="544" max="544" width="0" style="279" hidden="1" customWidth="1"/>
    <col min="545" max="545" width="11.88671875" style="279" customWidth="1"/>
    <col min="546" max="546" width="8.88671875" style="279" customWidth="1"/>
    <col min="547" max="547" width="12.33203125" style="279" customWidth="1"/>
    <col min="548" max="548" width="1.44140625" style="279" customWidth="1"/>
    <col min="549" max="549" width="10.77734375" style="279" customWidth="1"/>
    <col min="550" max="550" width="1.44140625" style="279" customWidth="1"/>
    <col min="551" max="551" width="8" style="279" customWidth="1"/>
    <col min="552" max="552" width="1.44140625" style="279" customWidth="1"/>
    <col min="553" max="553" width="17.77734375" style="279" customWidth="1"/>
    <col min="554" max="554" width="1.44140625" style="279" customWidth="1"/>
    <col min="555" max="555" width="17.77734375" style="279" customWidth="1"/>
    <col min="556" max="556" width="1.44140625" style="279" customWidth="1"/>
    <col min="557" max="765" width="8" style="279"/>
    <col min="766" max="766" width="1.44140625" style="279" customWidth="1"/>
    <col min="767" max="767" width="4.5546875" style="279" customWidth="1"/>
    <col min="768" max="768" width="9.21875" style="279" customWidth="1"/>
    <col min="769" max="769" width="14.109375" style="279" bestFit="1" customWidth="1"/>
    <col min="770" max="771" width="12.33203125" style="279" customWidth="1"/>
    <col min="772" max="772" width="13" style="279" bestFit="1" customWidth="1"/>
    <col min="773" max="773" width="14" style="279" customWidth="1"/>
    <col min="774" max="774" width="14.109375" style="279" bestFit="1" customWidth="1"/>
    <col min="775" max="776" width="12.33203125" style="279" customWidth="1"/>
    <col min="777" max="777" width="14.5546875" style="279" customWidth="1"/>
    <col min="778" max="778" width="14.44140625" style="279" customWidth="1"/>
    <col min="779" max="779" width="13.77734375" style="279" customWidth="1"/>
    <col min="780" max="782" width="13.109375" style="279" customWidth="1"/>
    <col min="783" max="783" width="14" style="279" customWidth="1"/>
    <col min="784" max="789" width="13.109375" style="279" customWidth="1"/>
    <col min="790" max="790" width="12.88671875" style="279" customWidth="1"/>
    <col min="791" max="791" width="10.5546875" style="279" customWidth="1"/>
    <col min="792" max="792" width="11.77734375" style="279" customWidth="1"/>
    <col min="793" max="793" width="13" style="279" bestFit="1" customWidth="1"/>
    <col min="794" max="794" width="11.77734375" style="279" customWidth="1"/>
    <col min="795" max="795" width="12.88671875" style="279" customWidth="1"/>
    <col min="796" max="796" width="13.109375" style="279" customWidth="1"/>
    <col min="797" max="797" width="11.33203125" style="279" customWidth="1"/>
    <col min="798" max="798" width="14.21875" style="279" customWidth="1"/>
    <col min="799" max="799" width="12.21875" style="279" customWidth="1"/>
    <col min="800" max="800" width="0" style="279" hidden="1" customWidth="1"/>
    <col min="801" max="801" width="11.88671875" style="279" customWidth="1"/>
    <col min="802" max="802" width="8.88671875" style="279" customWidth="1"/>
    <col min="803" max="803" width="12.33203125" style="279" customWidth="1"/>
    <col min="804" max="804" width="1.44140625" style="279" customWidth="1"/>
    <col min="805" max="805" width="10.77734375" style="279" customWidth="1"/>
    <col min="806" max="806" width="1.44140625" style="279" customWidth="1"/>
    <col min="807" max="807" width="8" style="279" customWidth="1"/>
    <col min="808" max="808" width="1.44140625" style="279" customWidth="1"/>
    <col min="809" max="809" width="17.77734375" style="279" customWidth="1"/>
    <col min="810" max="810" width="1.44140625" style="279" customWidth="1"/>
    <col min="811" max="811" width="17.77734375" style="279" customWidth="1"/>
    <col min="812" max="812" width="1.44140625" style="279" customWidth="1"/>
    <col min="813" max="1021" width="8" style="279"/>
    <col min="1022" max="1022" width="1.44140625" style="279" customWidth="1"/>
    <col min="1023" max="1023" width="4.5546875" style="279" customWidth="1"/>
    <col min="1024" max="1024" width="9.21875" style="279" customWidth="1"/>
    <col min="1025" max="1025" width="14.109375" style="279" bestFit="1" customWidth="1"/>
    <col min="1026" max="1027" width="12.33203125" style="279" customWidth="1"/>
    <col min="1028" max="1028" width="13" style="279" bestFit="1" customWidth="1"/>
    <col min="1029" max="1029" width="14" style="279" customWidth="1"/>
    <col min="1030" max="1030" width="14.109375" style="279" bestFit="1" customWidth="1"/>
    <col min="1031" max="1032" width="12.33203125" style="279" customWidth="1"/>
    <col min="1033" max="1033" width="14.5546875" style="279" customWidth="1"/>
    <col min="1034" max="1034" width="14.44140625" style="279" customWidth="1"/>
    <col min="1035" max="1035" width="13.77734375" style="279" customWidth="1"/>
    <col min="1036" max="1038" width="13.109375" style="279" customWidth="1"/>
    <col min="1039" max="1039" width="14" style="279" customWidth="1"/>
    <col min="1040" max="1045" width="13.109375" style="279" customWidth="1"/>
    <col min="1046" max="1046" width="12.88671875" style="279" customWidth="1"/>
    <col min="1047" max="1047" width="10.5546875" style="279" customWidth="1"/>
    <col min="1048" max="1048" width="11.77734375" style="279" customWidth="1"/>
    <col min="1049" max="1049" width="13" style="279" bestFit="1" customWidth="1"/>
    <col min="1050" max="1050" width="11.77734375" style="279" customWidth="1"/>
    <col min="1051" max="1051" width="12.88671875" style="279" customWidth="1"/>
    <col min="1052" max="1052" width="13.109375" style="279" customWidth="1"/>
    <col min="1053" max="1053" width="11.33203125" style="279" customWidth="1"/>
    <col min="1054" max="1054" width="14.21875" style="279" customWidth="1"/>
    <col min="1055" max="1055" width="12.21875" style="279" customWidth="1"/>
    <col min="1056" max="1056" width="0" style="279" hidden="1" customWidth="1"/>
    <col min="1057" max="1057" width="11.88671875" style="279" customWidth="1"/>
    <col min="1058" max="1058" width="8.88671875" style="279" customWidth="1"/>
    <col min="1059" max="1059" width="12.33203125" style="279" customWidth="1"/>
    <col min="1060" max="1060" width="1.44140625" style="279" customWidth="1"/>
    <col min="1061" max="1061" width="10.77734375" style="279" customWidth="1"/>
    <col min="1062" max="1062" width="1.44140625" style="279" customWidth="1"/>
    <col min="1063" max="1063" width="8" style="279" customWidth="1"/>
    <col min="1064" max="1064" width="1.44140625" style="279" customWidth="1"/>
    <col min="1065" max="1065" width="17.77734375" style="279" customWidth="1"/>
    <col min="1066" max="1066" width="1.44140625" style="279" customWidth="1"/>
    <col min="1067" max="1067" width="17.77734375" style="279" customWidth="1"/>
    <col min="1068" max="1068" width="1.44140625" style="279" customWidth="1"/>
    <col min="1069" max="1277" width="8" style="279"/>
    <col min="1278" max="1278" width="1.44140625" style="279" customWidth="1"/>
    <col min="1279" max="1279" width="4.5546875" style="279" customWidth="1"/>
    <col min="1280" max="1280" width="9.21875" style="279" customWidth="1"/>
    <col min="1281" max="1281" width="14.109375" style="279" bestFit="1" customWidth="1"/>
    <col min="1282" max="1283" width="12.33203125" style="279" customWidth="1"/>
    <col min="1284" max="1284" width="13" style="279" bestFit="1" customWidth="1"/>
    <col min="1285" max="1285" width="14" style="279" customWidth="1"/>
    <col min="1286" max="1286" width="14.109375" style="279" bestFit="1" customWidth="1"/>
    <col min="1287" max="1288" width="12.33203125" style="279" customWidth="1"/>
    <col min="1289" max="1289" width="14.5546875" style="279" customWidth="1"/>
    <col min="1290" max="1290" width="14.44140625" style="279" customWidth="1"/>
    <col min="1291" max="1291" width="13.77734375" style="279" customWidth="1"/>
    <col min="1292" max="1294" width="13.109375" style="279" customWidth="1"/>
    <col min="1295" max="1295" width="14" style="279" customWidth="1"/>
    <col min="1296" max="1301" width="13.109375" style="279" customWidth="1"/>
    <col min="1302" max="1302" width="12.88671875" style="279" customWidth="1"/>
    <col min="1303" max="1303" width="10.5546875" style="279" customWidth="1"/>
    <col min="1304" max="1304" width="11.77734375" style="279" customWidth="1"/>
    <col min="1305" max="1305" width="13" style="279" bestFit="1" customWidth="1"/>
    <col min="1306" max="1306" width="11.77734375" style="279" customWidth="1"/>
    <col min="1307" max="1307" width="12.88671875" style="279" customWidth="1"/>
    <col min="1308" max="1308" width="13.109375" style="279" customWidth="1"/>
    <col min="1309" max="1309" width="11.33203125" style="279" customWidth="1"/>
    <col min="1310" max="1310" width="14.21875" style="279" customWidth="1"/>
    <col min="1311" max="1311" width="12.21875" style="279" customWidth="1"/>
    <col min="1312" max="1312" width="0" style="279" hidden="1" customWidth="1"/>
    <col min="1313" max="1313" width="11.88671875" style="279" customWidth="1"/>
    <col min="1314" max="1314" width="8.88671875" style="279" customWidth="1"/>
    <col min="1315" max="1315" width="12.33203125" style="279" customWidth="1"/>
    <col min="1316" max="1316" width="1.44140625" style="279" customWidth="1"/>
    <col min="1317" max="1317" width="10.77734375" style="279" customWidth="1"/>
    <col min="1318" max="1318" width="1.44140625" style="279" customWidth="1"/>
    <col min="1319" max="1319" width="8" style="279" customWidth="1"/>
    <col min="1320" max="1320" width="1.44140625" style="279" customWidth="1"/>
    <col min="1321" max="1321" width="17.77734375" style="279" customWidth="1"/>
    <col min="1322" max="1322" width="1.44140625" style="279" customWidth="1"/>
    <col min="1323" max="1323" width="17.77734375" style="279" customWidth="1"/>
    <col min="1324" max="1324" width="1.44140625" style="279" customWidth="1"/>
    <col min="1325" max="1533" width="8" style="279"/>
    <col min="1534" max="1534" width="1.44140625" style="279" customWidth="1"/>
    <col min="1535" max="1535" width="4.5546875" style="279" customWidth="1"/>
    <col min="1536" max="1536" width="9.21875" style="279" customWidth="1"/>
    <col min="1537" max="1537" width="14.109375" style="279" bestFit="1" customWidth="1"/>
    <col min="1538" max="1539" width="12.33203125" style="279" customWidth="1"/>
    <col min="1540" max="1540" width="13" style="279" bestFit="1" customWidth="1"/>
    <col min="1541" max="1541" width="14" style="279" customWidth="1"/>
    <col min="1542" max="1542" width="14.109375" style="279" bestFit="1" customWidth="1"/>
    <col min="1543" max="1544" width="12.33203125" style="279" customWidth="1"/>
    <col min="1545" max="1545" width="14.5546875" style="279" customWidth="1"/>
    <col min="1546" max="1546" width="14.44140625" style="279" customWidth="1"/>
    <col min="1547" max="1547" width="13.77734375" style="279" customWidth="1"/>
    <col min="1548" max="1550" width="13.109375" style="279" customWidth="1"/>
    <col min="1551" max="1551" width="14" style="279" customWidth="1"/>
    <col min="1552" max="1557" width="13.109375" style="279" customWidth="1"/>
    <col min="1558" max="1558" width="12.88671875" style="279" customWidth="1"/>
    <col min="1559" max="1559" width="10.5546875" style="279" customWidth="1"/>
    <col min="1560" max="1560" width="11.77734375" style="279" customWidth="1"/>
    <col min="1561" max="1561" width="13" style="279" bestFit="1" customWidth="1"/>
    <col min="1562" max="1562" width="11.77734375" style="279" customWidth="1"/>
    <col min="1563" max="1563" width="12.88671875" style="279" customWidth="1"/>
    <col min="1564" max="1564" width="13.109375" style="279" customWidth="1"/>
    <col min="1565" max="1565" width="11.33203125" style="279" customWidth="1"/>
    <col min="1566" max="1566" width="14.21875" style="279" customWidth="1"/>
    <col min="1567" max="1567" width="12.21875" style="279" customWidth="1"/>
    <col min="1568" max="1568" width="0" style="279" hidden="1" customWidth="1"/>
    <col min="1569" max="1569" width="11.88671875" style="279" customWidth="1"/>
    <col min="1570" max="1570" width="8.88671875" style="279" customWidth="1"/>
    <col min="1571" max="1571" width="12.33203125" style="279" customWidth="1"/>
    <col min="1572" max="1572" width="1.44140625" style="279" customWidth="1"/>
    <col min="1573" max="1573" width="10.77734375" style="279" customWidth="1"/>
    <col min="1574" max="1574" width="1.44140625" style="279" customWidth="1"/>
    <col min="1575" max="1575" width="8" style="279" customWidth="1"/>
    <col min="1576" max="1576" width="1.44140625" style="279" customWidth="1"/>
    <col min="1577" max="1577" width="17.77734375" style="279" customWidth="1"/>
    <col min="1578" max="1578" width="1.44140625" style="279" customWidth="1"/>
    <col min="1579" max="1579" width="17.77734375" style="279" customWidth="1"/>
    <col min="1580" max="1580" width="1.44140625" style="279" customWidth="1"/>
    <col min="1581" max="1789" width="8" style="279"/>
    <col min="1790" max="1790" width="1.44140625" style="279" customWidth="1"/>
    <col min="1791" max="1791" width="4.5546875" style="279" customWidth="1"/>
    <col min="1792" max="1792" width="9.21875" style="279" customWidth="1"/>
    <col min="1793" max="1793" width="14.109375" style="279" bestFit="1" customWidth="1"/>
    <col min="1794" max="1795" width="12.33203125" style="279" customWidth="1"/>
    <col min="1796" max="1796" width="13" style="279" bestFit="1" customWidth="1"/>
    <col min="1797" max="1797" width="14" style="279" customWidth="1"/>
    <col min="1798" max="1798" width="14.109375" style="279" bestFit="1" customWidth="1"/>
    <col min="1799" max="1800" width="12.33203125" style="279" customWidth="1"/>
    <col min="1801" max="1801" width="14.5546875" style="279" customWidth="1"/>
    <col min="1802" max="1802" width="14.44140625" style="279" customWidth="1"/>
    <col min="1803" max="1803" width="13.77734375" style="279" customWidth="1"/>
    <col min="1804" max="1806" width="13.109375" style="279" customWidth="1"/>
    <col min="1807" max="1807" width="14" style="279" customWidth="1"/>
    <col min="1808" max="1813" width="13.109375" style="279" customWidth="1"/>
    <col min="1814" max="1814" width="12.88671875" style="279" customWidth="1"/>
    <col min="1815" max="1815" width="10.5546875" style="279" customWidth="1"/>
    <col min="1816" max="1816" width="11.77734375" style="279" customWidth="1"/>
    <col min="1817" max="1817" width="13" style="279" bestFit="1" customWidth="1"/>
    <col min="1818" max="1818" width="11.77734375" style="279" customWidth="1"/>
    <col min="1819" max="1819" width="12.88671875" style="279" customWidth="1"/>
    <col min="1820" max="1820" width="13.109375" style="279" customWidth="1"/>
    <col min="1821" max="1821" width="11.33203125" style="279" customWidth="1"/>
    <col min="1822" max="1822" width="14.21875" style="279" customWidth="1"/>
    <col min="1823" max="1823" width="12.21875" style="279" customWidth="1"/>
    <col min="1824" max="1824" width="0" style="279" hidden="1" customWidth="1"/>
    <col min="1825" max="1825" width="11.88671875" style="279" customWidth="1"/>
    <col min="1826" max="1826" width="8.88671875" style="279" customWidth="1"/>
    <col min="1827" max="1827" width="12.33203125" style="279" customWidth="1"/>
    <col min="1828" max="1828" width="1.44140625" style="279" customWidth="1"/>
    <col min="1829" max="1829" width="10.77734375" style="279" customWidth="1"/>
    <col min="1830" max="1830" width="1.44140625" style="279" customWidth="1"/>
    <col min="1831" max="1831" width="8" style="279" customWidth="1"/>
    <col min="1832" max="1832" width="1.44140625" style="279" customWidth="1"/>
    <col min="1833" max="1833" width="17.77734375" style="279" customWidth="1"/>
    <col min="1834" max="1834" width="1.44140625" style="279" customWidth="1"/>
    <col min="1835" max="1835" width="17.77734375" style="279" customWidth="1"/>
    <col min="1836" max="1836" width="1.44140625" style="279" customWidth="1"/>
    <col min="1837" max="2045" width="8" style="279"/>
    <col min="2046" max="2046" width="1.44140625" style="279" customWidth="1"/>
    <col min="2047" max="2047" width="4.5546875" style="279" customWidth="1"/>
    <col min="2048" max="2048" width="9.21875" style="279" customWidth="1"/>
    <col min="2049" max="2049" width="14.109375" style="279" bestFit="1" customWidth="1"/>
    <col min="2050" max="2051" width="12.33203125" style="279" customWidth="1"/>
    <col min="2052" max="2052" width="13" style="279" bestFit="1" customWidth="1"/>
    <col min="2053" max="2053" width="14" style="279" customWidth="1"/>
    <col min="2054" max="2054" width="14.109375" style="279" bestFit="1" customWidth="1"/>
    <col min="2055" max="2056" width="12.33203125" style="279" customWidth="1"/>
    <col min="2057" max="2057" width="14.5546875" style="279" customWidth="1"/>
    <col min="2058" max="2058" width="14.44140625" style="279" customWidth="1"/>
    <col min="2059" max="2059" width="13.77734375" style="279" customWidth="1"/>
    <col min="2060" max="2062" width="13.109375" style="279" customWidth="1"/>
    <col min="2063" max="2063" width="14" style="279" customWidth="1"/>
    <col min="2064" max="2069" width="13.109375" style="279" customWidth="1"/>
    <col min="2070" max="2070" width="12.88671875" style="279" customWidth="1"/>
    <col min="2071" max="2071" width="10.5546875" style="279" customWidth="1"/>
    <col min="2072" max="2072" width="11.77734375" style="279" customWidth="1"/>
    <col min="2073" max="2073" width="13" style="279" bestFit="1" customWidth="1"/>
    <col min="2074" max="2074" width="11.77734375" style="279" customWidth="1"/>
    <col min="2075" max="2075" width="12.88671875" style="279" customWidth="1"/>
    <col min="2076" max="2076" width="13.109375" style="279" customWidth="1"/>
    <col min="2077" max="2077" width="11.33203125" style="279" customWidth="1"/>
    <col min="2078" max="2078" width="14.21875" style="279" customWidth="1"/>
    <col min="2079" max="2079" width="12.21875" style="279" customWidth="1"/>
    <col min="2080" max="2080" width="0" style="279" hidden="1" customWidth="1"/>
    <col min="2081" max="2081" width="11.88671875" style="279" customWidth="1"/>
    <col min="2082" max="2082" width="8.88671875" style="279" customWidth="1"/>
    <col min="2083" max="2083" width="12.33203125" style="279" customWidth="1"/>
    <col min="2084" max="2084" width="1.44140625" style="279" customWidth="1"/>
    <col min="2085" max="2085" width="10.77734375" style="279" customWidth="1"/>
    <col min="2086" max="2086" width="1.44140625" style="279" customWidth="1"/>
    <col min="2087" max="2087" width="8" style="279" customWidth="1"/>
    <col min="2088" max="2088" width="1.44140625" style="279" customWidth="1"/>
    <col min="2089" max="2089" width="17.77734375" style="279" customWidth="1"/>
    <col min="2090" max="2090" width="1.44140625" style="279" customWidth="1"/>
    <col min="2091" max="2091" width="17.77734375" style="279" customWidth="1"/>
    <col min="2092" max="2092" width="1.44140625" style="279" customWidth="1"/>
    <col min="2093" max="2301" width="8" style="279"/>
    <col min="2302" max="2302" width="1.44140625" style="279" customWidth="1"/>
    <col min="2303" max="2303" width="4.5546875" style="279" customWidth="1"/>
    <col min="2304" max="2304" width="9.21875" style="279" customWidth="1"/>
    <col min="2305" max="2305" width="14.109375" style="279" bestFit="1" customWidth="1"/>
    <col min="2306" max="2307" width="12.33203125" style="279" customWidth="1"/>
    <col min="2308" max="2308" width="13" style="279" bestFit="1" customWidth="1"/>
    <col min="2309" max="2309" width="14" style="279" customWidth="1"/>
    <col min="2310" max="2310" width="14.109375" style="279" bestFit="1" customWidth="1"/>
    <col min="2311" max="2312" width="12.33203125" style="279" customWidth="1"/>
    <col min="2313" max="2313" width="14.5546875" style="279" customWidth="1"/>
    <col min="2314" max="2314" width="14.44140625" style="279" customWidth="1"/>
    <col min="2315" max="2315" width="13.77734375" style="279" customWidth="1"/>
    <col min="2316" max="2318" width="13.109375" style="279" customWidth="1"/>
    <col min="2319" max="2319" width="14" style="279" customWidth="1"/>
    <col min="2320" max="2325" width="13.109375" style="279" customWidth="1"/>
    <col min="2326" max="2326" width="12.88671875" style="279" customWidth="1"/>
    <col min="2327" max="2327" width="10.5546875" style="279" customWidth="1"/>
    <col min="2328" max="2328" width="11.77734375" style="279" customWidth="1"/>
    <col min="2329" max="2329" width="13" style="279" bestFit="1" customWidth="1"/>
    <col min="2330" max="2330" width="11.77734375" style="279" customWidth="1"/>
    <col min="2331" max="2331" width="12.88671875" style="279" customWidth="1"/>
    <col min="2332" max="2332" width="13.109375" style="279" customWidth="1"/>
    <col min="2333" max="2333" width="11.33203125" style="279" customWidth="1"/>
    <col min="2334" max="2334" width="14.21875" style="279" customWidth="1"/>
    <col min="2335" max="2335" width="12.21875" style="279" customWidth="1"/>
    <col min="2336" max="2336" width="0" style="279" hidden="1" customWidth="1"/>
    <col min="2337" max="2337" width="11.88671875" style="279" customWidth="1"/>
    <col min="2338" max="2338" width="8.88671875" style="279" customWidth="1"/>
    <col min="2339" max="2339" width="12.33203125" style="279" customWidth="1"/>
    <col min="2340" max="2340" width="1.44140625" style="279" customWidth="1"/>
    <col min="2341" max="2341" width="10.77734375" style="279" customWidth="1"/>
    <col min="2342" max="2342" width="1.44140625" style="279" customWidth="1"/>
    <col min="2343" max="2343" width="8" style="279" customWidth="1"/>
    <col min="2344" max="2344" width="1.44140625" style="279" customWidth="1"/>
    <col min="2345" max="2345" width="17.77734375" style="279" customWidth="1"/>
    <col min="2346" max="2346" width="1.44140625" style="279" customWidth="1"/>
    <col min="2347" max="2347" width="17.77734375" style="279" customWidth="1"/>
    <col min="2348" max="2348" width="1.44140625" style="279" customWidth="1"/>
    <col min="2349" max="2557" width="8" style="279"/>
    <col min="2558" max="2558" width="1.44140625" style="279" customWidth="1"/>
    <col min="2559" max="2559" width="4.5546875" style="279" customWidth="1"/>
    <col min="2560" max="2560" width="9.21875" style="279" customWidth="1"/>
    <col min="2561" max="2561" width="14.109375" style="279" bestFit="1" customWidth="1"/>
    <col min="2562" max="2563" width="12.33203125" style="279" customWidth="1"/>
    <col min="2564" max="2564" width="13" style="279" bestFit="1" customWidth="1"/>
    <col min="2565" max="2565" width="14" style="279" customWidth="1"/>
    <col min="2566" max="2566" width="14.109375" style="279" bestFit="1" customWidth="1"/>
    <col min="2567" max="2568" width="12.33203125" style="279" customWidth="1"/>
    <col min="2569" max="2569" width="14.5546875" style="279" customWidth="1"/>
    <col min="2570" max="2570" width="14.44140625" style="279" customWidth="1"/>
    <col min="2571" max="2571" width="13.77734375" style="279" customWidth="1"/>
    <col min="2572" max="2574" width="13.109375" style="279" customWidth="1"/>
    <col min="2575" max="2575" width="14" style="279" customWidth="1"/>
    <col min="2576" max="2581" width="13.109375" style="279" customWidth="1"/>
    <col min="2582" max="2582" width="12.88671875" style="279" customWidth="1"/>
    <col min="2583" max="2583" width="10.5546875" style="279" customWidth="1"/>
    <col min="2584" max="2584" width="11.77734375" style="279" customWidth="1"/>
    <col min="2585" max="2585" width="13" style="279" bestFit="1" customWidth="1"/>
    <col min="2586" max="2586" width="11.77734375" style="279" customWidth="1"/>
    <col min="2587" max="2587" width="12.88671875" style="279" customWidth="1"/>
    <col min="2588" max="2588" width="13.109375" style="279" customWidth="1"/>
    <col min="2589" max="2589" width="11.33203125" style="279" customWidth="1"/>
    <col min="2590" max="2590" width="14.21875" style="279" customWidth="1"/>
    <col min="2591" max="2591" width="12.21875" style="279" customWidth="1"/>
    <col min="2592" max="2592" width="0" style="279" hidden="1" customWidth="1"/>
    <col min="2593" max="2593" width="11.88671875" style="279" customWidth="1"/>
    <col min="2594" max="2594" width="8.88671875" style="279" customWidth="1"/>
    <col min="2595" max="2595" width="12.33203125" style="279" customWidth="1"/>
    <col min="2596" max="2596" width="1.44140625" style="279" customWidth="1"/>
    <col min="2597" max="2597" width="10.77734375" style="279" customWidth="1"/>
    <col min="2598" max="2598" width="1.44140625" style="279" customWidth="1"/>
    <col min="2599" max="2599" width="8" style="279" customWidth="1"/>
    <col min="2600" max="2600" width="1.44140625" style="279" customWidth="1"/>
    <col min="2601" max="2601" width="17.77734375" style="279" customWidth="1"/>
    <col min="2602" max="2602" width="1.44140625" style="279" customWidth="1"/>
    <col min="2603" max="2603" width="17.77734375" style="279" customWidth="1"/>
    <col min="2604" max="2604" width="1.44140625" style="279" customWidth="1"/>
    <col min="2605" max="2813" width="8" style="279"/>
    <col min="2814" max="2814" width="1.44140625" style="279" customWidth="1"/>
    <col min="2815" max="2815" width="4.5546875" style="279" customWidth="1"/>
    <col min="2816" max="2816" width="9.21875" style="279" customWidth="1"/>
    <col min="2817" max="2817" width="14.109375" style="279" bestFit="1" customWidth="1"/>
    <col min="2818" max="2819" width="12.33203125" style="279" customWidth="1"/>
    <col min="2820" max="2820" width="13" style="279" bestFit="1" customWidth="1"/>
    <col min="2821" max="2821" width="14" style="279" customWidth="1"/>
    <col min="2822" max="2822" width="14.109375" style="279" bestFit="1" customWidth="1"/>
    <col min="2823" max="2824" width="12.33203125" style="279" customWidth="1"/>
    <col min="2825" max="2825" width="14.5546875" style="279" customWidth="1"/>
    <col min="2826" max="2826" width="14.44140625" style="279" customWidth="1"/>
    <col min="2827" max="2827" width="13.77734375" style="279" customWidth="1"/>
    <col min="2828" max="2830" width="13.109375" style="279" customWidth="1"/>
    <col min="2831" max="2831" width="14" style="279" customWidth="1"/>
    <col min="2832" max="2837" width="13.109375" style="279" customWidth="1"/>
    <col min="2838" max="2838" width="12.88671875" style="279" customWidth="1"/>
    <col min="2839" max="2839" width="10.5546875" style="279" customWidth="1"/>
    <col min="2840" max="2840" width="11.77734375" style="279" customWidth="1"/>
    <col min="2841" max="2841" width="13" style="279" bestFit="1" customWidth="1"/>
    <col min="2842" max="2842" width="11.77734375" style="279" customWidth="1"/>
    <col min="2843" max="2843" width="12.88671875" style="279" customWidth="1"/>
    <col min="2844" max="2844" width="13.109375" style="279" customWidth="1"/>
    <col min="2845" max="2845" width="11.33203125" style="279" customWidth="1"/>
    <col min="2846" max="2846" width="14.21875" style="279" customWidth="1"/>
    <col min="2847" max="2847" width="12.21875" style="279" customWidth="1"/>
    <col min="2848" max="2848" width="0" style="279" hidden="1" customWidth="1"/>
    <col min="2849" max="2849" width="11.88671875" style="279" customWidth="1"/>
    <col min="2850" max="2850" width="8.88671875" style="279" customWidth="1"/>
    <col min="2851" max="2851" width="12.33203125" style="279" customWidth="1"/>
    <col min="2852" max="2852" width="1.44140625" style="279" customWidth="1"/>
    <col min="2853" max="2853" width="10.77734375" style="279" customWidth="1"/>
    <col min="2854" max="2854" width="1.44140625" style="279" customWidth="1"/>
    <col min="2855" max="2855" width="8" style="279" customWidth="1"/>
    <col min="2856" max="2856" width="1.44140625" style="279" customWidth="1"/>
    <col min="2857" max="2857" width="17.77734375" style="279" customWidth="1"/>
    <col min="2858" max="2858" width="1.44140625" style="279" customWidth="1"/>
    <col min="2859" max="2859" width="17.77734375" style="279" customWidth="1"/>
    <col min="2860" max="2860" width="1.44140625" style="279" customWidth="1"/>
    <col min="2861" max="3069" width="8" style="279"/>
    <col min="3070" max="3070" width="1.44140625" style="279" customWidth="1"/>
    <col min="3071" max="3071" width="4.5546875" style="279" customWidth="1"/>
    <col min="3072" max="3072" width="9.21875" style="279" customWidth="1"/>
    <col min="3073" max="3073" width="14.109375" style="279" bestFit="1" customWidth="1"/>
    <col min="3074" max="3075" width="12.33203125" style="279" customWidth="1"/>
    <col min="3076" max="3076" width="13" style="279" bestFit="1" customWidth="1"/>
    <col min="3077" max="3077" width="14" style="279" customWidth="1"/>
    <col min="3078" max="3078" width="14.109375" style="279" bestFit="1" customWidth="1"/>
    <col min="3079" max="3080" width="12.33203125" style="279" customWidth="1"/>
    <col min="3081" max="3081" width="14.5546875" style="279" customWidth="1"/>
    <col min="3082" max="3082" width="14.44140625" style="279" customWidth="1"/>
    <col min="3083" max="3083" width="13.77734375" style="279" customWidth="1"/>
    <col min="3084" max="3086" width="13.109375" style="279" customWidth="1"/>
    <col min="3087" max="3087" width="14" style="279" customWidth="1"/>
    <col min="3088" max="3093" width="13.109375" style="279" customWidth="1"/>
    <col min="3094" max="3094" width="12.88671875" style="279" customWidth="1"/>
    <col min="3095" max="3095" width="10.5546875" style="279" customWidth="1"/>
    <col min="3096" max="3096" width="11.77734375" style="279" customWidth="1"/>
    <col min="3097" max="3097" width="13" style="279" bestFit="1" customWidth="1"/>
    <col min="3098" max="3098" width="11.77734375" style="279" customWidth="1"/>
    <col min="3099" max="3099" width="12.88671875" style="279" customWidth="1"/>
    <col min="3100" max="3100" width="13.109375" style="279" customWidth="1"/>
    <col min="3101" max="3101" width="11.33203125" style="279" customWidth="1"/>
    <col min="3102" max="3102" width="14.21875" style="279" customWidth="1"/>
    <col min="3103" max="3103" width="12.21875" style="279" customWidth="1"/>
    <col min="3104" max="3104" width="0" style="279" hidden="1" customWidth="1"/>
    <col min="3105" max="3105" width="11.88671875" style="279" customWidth="1"/>
    <col min="3106" max="3106" width="8.88671875" style="279" customWidth="1"/>
    <col min="3107" max="3107" width="12.33203125" style="279" customWidth="1"/>
    <col min="3108" max="3108" width="1.44140625" style="279" customWidth="1"/>
    <col min="3109" max="3109" width="10.77734375" style="279" customWidth="1"/>
    <col min="3110" max="3110" width="1.44140625" style="279" customWidth="1"/>
    <col min="3111" max="3111" width="8" style="279" customWidth="1"/>
    <col min="3112" max="3112" width="1.44140625" style="279" customWidth="1"/>
    <col min="3113" max="3113" width="17.77734375" style="279" customWidth="1"/>
    <col min="3114" max="3114" width="1.44140625" style="279" customWidth="1"/>
    <col min="3115" max="3115" width="17.77734375" style="279" customWidth="1"/>
    <col min="3116" max="3116" width="1.44140625" style="279" customWidth="1"/>
    <col min="3117" max="3325" width="8" style="279"/>
    <col min="3326" max="3326" width="1.44140625" style="279" customWidth="1"/>
    <col min="3327" max="3327" width="4.5546875" style="279" customWidth="1"/>
    <col min="3328" max="3328" width="9.21875" style="279" customWidth="1"/>
    <col min="3329" max="3329" width="14.109375" style="279" bestFit="1" customWidth="1"/>
    <col min="3330" max="3331" width="12.33203125" style="279" customWidth="1"/>
    <col min="3332" max="3332" width="13" style="279" bestFit="1" customWidth="1"/>
    <col min="3333" max="3333" width="14" style="279" customWidth="1"/>
    <col min="3334" max="3334" width="14.109375" style="279" bestFit="1" customWidth="1"/>
    <col min="3335" max="3336" width="12.33203125" style="279" customWidth="1"/>
    <col min="3337" max="3337" width="14.5546875" style="279" customWidth="1"/>
    <col min="3338" max="3338" width="14.44140625" style="279" customWidth="1"/>
    <col min="3339" max="3339" width="13.77734375" style="279" customWidth="1"/>
    <col min="3340" max="3342" width="13.109375" style="279" customWidth="1"/>
    <col min="3343" max="3343" width="14" style="279" customWidth="1"/>
    <col min="3344" max="3349" width="13.109375" style="279" customWidth="1"/>
    <col min="3350" max="3350" width="12.88671875" style="279" customWidth="1"/>
    <col min="3351" max="3351" width="10.5546875" style="279" customWidth="1"/>
    <col min="3352" max="3352" width="11.77734375" style="279" customWidth="1"/>
    <col min="3353" max="3353" width="13" style="279" bestFit="1" customWidth="1"/>
    <col min="3354" max="3354" width="11.77734375" style="279" customWidth="1"/>
    <col min="3355" max="3355" width="12.88671875" style="279" customWidth="1"/>
    <col min="3356" max="3356" width="13.109375" style="279" customWidth="1"/>
    <col min="3357" max="3357" width="11.33203125" style="279" customWidth="1"/>
    <col min="3358" max="3358" width="14.21875" style="279" customWidth="1"/>
    <col min="3359" max="3359" width="12.21875" style="279" customWidth="1"/>
    <col min="3360" max="3360" width="0" style="279" hidden="1" customWidth="1"/>
    <col min="3361" max="3361" width="11.88671875" style="279" customWidth="1"/>
    <col min="3362" max="3362" width="8.88671875" style="279" customWidth="1"/>
    <col min="3363" max="3363" width="12.33203125" style="279" customWidth="1"/>
    <col min="3364" max="3364" width="1.44140625" style="279" customWidth="1"/>
    <col min="3365" max="3365" width="10.77734375" style="279" customWidth="1"/>
    <col min="3366" max="3366" width="1.44140625" style="279" customWidth="1"/>
    <col min="3367" max="3367" width="8" style="279" customWidth="1"/>
    <col min="3368" max="3368" width="1.44140625" style="279" customWidth="1"/>
    <col min="3369" max="3369" width="17.77734375" style="279" customWidth="1"/>
    <col min="3370" max="3370" width="1.44140625" style="279" customWidth="1"/>
    <col min="3371" max="3371" width="17.77734375" style="279" customWidth="1"/>
    <col min="3372" max="3372" width="1.44140625" style="279" customWidth="1"/>
    <col min="3373" max="3581" width="8" style="279"/>
    <col min="3582" max="3582" width="1.44140625" style="279" customWidth="1"/>
    <col min="3583" max="3583" width="4.5546875" style="279" customWidth="1"/>
    <col min="3584" max="3584" width="9.21875" style="279" customWidth="1"/>
    <col min="3585" max="3585" width="14.109375" style="279" bestFit="1" customWidth="1"/>
    <col min="3586" max="3587" width="12.33203125" style="279" customWidth="1"/>
    <col min="3588" max="3588" width="13" style="279" bestFit="1" customWidth="1"/>
    <col min="3589" max="3589" width="14" style="279" customWidth="1"/>
    <col min="3590" max="3590" width="14.109375" style="279" bestFit="1" customWidth="1"/>
    <col min="3591" max="3592" width="12.33203125" style="279" customWidth="1"/>
    <col min="3593" max="3593" width="14.5546875" style="279" customWidth="1"/>
    <col min="3594" max="3594" width="14.44140625" style="279" customWidth="1"/>
    <col min="3595" max="3595" width="13.77734375" style="279" customWidth="1"/>
    <col min="3596" max="3598" width="13.109375" style="279" customWidth="1"/>
    <col min="3599" max="3599" width="14" style="279" customWidth="1"/>
    <col min="3600" max="3605" width="13.109375" style="279" customWidth="1"/>
    <col min="3606" max="3606" width="12.88671875" style="279" customWidth="1"/>
    <col min="3607" max="3607" width="10.5546875" style="279" customWidth="1"/>
    <col min="3608" max="3608" width="11.77734375" style="279" customWidth="1"/>
    <col min="3609" max="3609" width="13" style="279" bestFit="1" customWidth="1"/>
    <col min="3610" max="3610" width="11.77734375" style="279" customWidth="1"/>
    <col min="3611" max="3611" width="12.88671875" style="279" customWidth="1"/>
    <col min="3612" max="3612" width="13.109375" style="279" customWidth="1"/>
    <col min="3613" max="3613" width="11.33203125" style="279" customWidth="1"/>
    <col min="3614" max="3614" width="14.21875" style="279" customWidth="1"/>
    <col min="3615" max="3615" width="12.21875" style="279" customWidth="1"/>
    <col min="3616" max="3616" width="0" style="279" hidden="1" customWidth="1"/>
    <col min="3617" max="3617" width="11.88671875" style="279" customWidth="1"/>
    <col min="3618" max="3618" width="8.88671875" style="279" customWidth="1"/>
    <col min="3619" max="3619" width="12.33203125" style="279" customWidth="1"/>
    <col min="3620" max="3620" width="1.44140625" style="279" customWidth="1"/>
    <col min="3621" max="3621" width="10.77734375" style="279" customWidth="1"/>
    <col min="3622" max="3622" width="1.44140625" style="279" customWidth="1"/>
    <col min="3623" max="3623" width="8" style="279" customWidth="1"/>
    <col min="3624" max="3624" width="1.44140625" style="279" customWidth="1"/>
    <col min="3625" max="3625" width="17.77734375" style="279" customWidth="1"/>
    <col min="3626" max="3626" width="1.44140625" style="279" customWidth="1"/>
    <col min="3627" max="3627" width="17.77734375" style="279" customWidth="1"/>
    <col min="3628" max="3628" width="1.44140625" style="279" customWidth="1"/>
    <col min="3629" max="3837" width="8" style="279"/>
    <col min="3838" max="3838" width="1.44140625" style="279" customWidth="1"/>
    <col min="3839" max="3839" width="4.5546875" style="279" customWidth="1"/>
    <col min="3840" max="3840" width="9.21875" style="279" customWidth="1"/>
    <col min="3841" max="3841" width="14.109375" style="279" bestFit="1" customWidth="1"/>
    <col min="3842" max="3843" width="12.33203125" style="279" customWidth="1"/>
    <col min="3844" max="3844" width="13" style="279" bestFit="1" customWidth="1"/>
    <col min="3845" max="3845" width="14" style="279" customWidth="1"/>
    <col min="3846" max="3846" width="14.109375" style="279" bestFit="1" customWidth="1"/>
    <col min="3847" max="3848" width="12.33203125" style="279" customWidth="1"/>
    <col min="3849" max="3849" width="14.5546875" style="279" customWidth="1"/>
    <col min="3850" max="3850" width="14.44140625" style="279" customWidth="1"/>
    <col min="3851" max="3851" width="13.77734375" style="279" customWidth="1"/>
    <col min="3852" max="3854" width="13.109375" style="279" customWidth="1"/>
    <col min="3855" max="3855" width="14" style="279" customWidth="1"/>
    <col min="3856" max="3861" width="13.109375" style="279" customWidth="1"/>
    <col min="3862" max="3862" width="12.88671875" style="279" customWidth="1"/>
    <col min="3863" max="3863" width="10.5546875" style="279" customWidth="1"/>
    <col min="3864" max="3864" width="11.77734375" style="279" customWidth="1"/>
    <col min="3865" max="3865" width="13" style="279" bestFit="1" customWidth="1"/>
    <col min="3866" max="3866" width="11.77734375" style="279" customWidth="1"/>
    <col min="3867" max="3867" width="12.88671875" style="279" customWidth="1"/>
    <col min="3868" max="3868" width="13.109375" style="279" customWidth="1"/>
    <col min="3869" max="3869" width="11.33203125" style="279" customWidth="1"/>
    <col min="3870" max="3870" width="14.21875" style="279" customWidth="1"/>
    <col min="3871" max="3871" width="12.21875" style="279" customWidth="1"/>
    <col min="3872" max="3872" width="0" style="279" hidden="1" customWidth="1"/>
    <col min="3873" max="3873" width="11.88671875" style="279" customWidth="1"/>
    <col min="3874" max="3874" width="8.88671875" style="279" customWidth="1"/>
    <col min="3875" max="3875" width="12.33203125" style="279" customWidth="1"/>
    <col min="3876" max="3876" width="1.44140625" style="279" customWidth="1"/>
    <col min="3877" max="3877" width="10.77734375" style="279" customWidth="1"/>
    <col min="3878" max="3878" width="1.44140625" style="279" customWidth="1"/>
    <col min="3879" max="3879" width="8" style="279" customWidth="1"/>
    <col min="3880" max="3880" width="1.44140625" style="279" customWidth="1"/>
    <col min="3881" max="3881" width="17.77734375" style="279" customWidth="1"/>
    <col min="3882" max="3882" width="1.44140625" style="279" customWidth="1"/>
    <col min="3883" max="3883" width="17.77734375" style="279" customWidth="1"/>
    <col min="3884" max="3884" width="1.44140625" style="279" customWidth="1"/>
    <col min="3885" max="4093" width="8" style="279"/>
    <col min="4094" max="4094" width="1.44140625" style="279" customWidth="1"/>
    <col min="4095" max="4095" width="4.5546875" style="279" customWidth="1"/>
    <col min="4096" max="4096" width="9.21875" style="279" customWidth="1"/>
    <col min="4097" max="4097" width="14.109375" style="279" bestFit="1" customWidth="1"/>
    <col min="4098" max="4099" width="12.33203125" style="279" customWidth="1"/>
    <col min="4100" max="4100" width="13" style="279" bestFit="1" customWidth="1"/>
    <col min="4101" max="4101" width="14" style="279" customWidth="1"/>
    <col min="4102" max="4102" width="14.109375" style="279" bestFit="1" customWidth="1"/>
    <col min="4103" max="4104" width="12.33203125" style="279" customWidth="1"/>
    <col min="4105" max="4105" width="14.5546875" style="279" customWidth="1"/>
    <col min="4106" max="4106" width="14.44140625" style="279" customWidth="1"/>
    <col min="4107" max="4107" width="13.77734375" style="279" customWidth="1"/>
    <col min="4108" max="4110" width="13.109375" style="279" customWidth="1"/>
    <col min="4111" max="4111" width="14" style="279" customWidth="1"/>
    <col min="4112" max="4117" width="13.109375" style="279" customWidth="1"/>
    <col min="4118" max="4118" width="12.88671875" style="279" customWidth="1"/>
    <col min="4119" max="4119" width="10.5546875" style="279" customWidth="1"/>
    <col min="4120" max="4120" width="11.77734375" style="279" customWidth="1"/>
    <col min="4121" max="4121" width="13" style="279" bestFit="1" customWidth="1"/>
    <col min="4122" max="4122" width="11.77734375" style="279" customWidth="1"/>
    <col min="4123" max="4123" width="12.88671875" style="279" customWidth="1"/>
    <col min="4124" max="4124" width="13.109375" style="279" customWidth="1"/>
    <col min="4125" max="4125" width="11.33203125" style="279" customWidth="1"/>
    <col min="4126" max="4126" width="14.21875" style="279" customWidth="1"/>
    <col min="4127" max="4127" width="12.21875" style="279" customWidth="1"/>
    <col min="4128" max="4128" width="0" style="279" hidden="1" customWidth="1"/>
    <col min="4129" max="4129" width="11.88671875" style="279" customWidth="1"/>
    <col min="4130" max="4130" width="8.88671875" style="279" customWidth="1"/>
    <col min="4131" max="4131" width="12.33203125" style="279" customWidth="1"/>
    <col min="4132" max="4132" width="1.44140625" style="279" customWidth="1"/>
    <col min="4133" max="4133" width="10.77734375" style="279" customWidth="1"/>
    <col min="4134" max="4134" width="1.44140625" style="279" customWidth="1"/>
    <col min="4135" max="4135" width="8" style="279" customWidth="1"/>
    <col min="4136" max="4136" width="1.44140625" style="279" customWidth="1"/>
    <col min="4137" max="4137" width="17.77734375" style="279" customWidth="1"/>
    <col min="4138" max="4138" width="1.44140625" style="279" customWidth="1"/>
    <col min="4139" max="4139" width="17.77734375" style="279" customWidth="1"/>
    <col min="4140" max="4140" width="1.44140625" style="279" customWidth="1"/>
    <col min="4141" max="4349" width="8" style="279"/>
    <col min="4350" max="4350" width="1.44140625" style="279" customWidth="1"/>
    <col min="4351" max="4351" width="4.5546875" style="279" customWidth="1"/>
    <col min="4352" max="4352" width="9.21875" style="279" customWidth="1"/>
    <col min="4353" max="4353" width="14.109375" style="279" bestFit="1" customWidth="1"/>
    <col min="4354" max="4355" width="12.33203125" style="279" customWidth="1"/>
    <col min="4356" max="4356" width="13" style="279" bestFit="1" customWidth="1"/>
    <col min="4357" max="4357" width="14" style="279" customWidth="1"/>
    <col min="4358" max="4358" width="14.109375" style="279" bestFit="1" customWidth="1"/>
    <col min="4359" max="4360" width="12.33203125" style="279" customWidth="1"/>
    <col min="4361" max="4361" width="14.5546875" style="279" customWidth="1"/>
    <col min="4362" max="4362" width="14.44140625" style="279" customWidth="1"/>
    <col min="4363" max="4363" width="13.77734375" style="279" customWidth="1"/>
    <col min="4364" max="4366" width="13.109375" style="279" customWidth="1"/>
    <col min="4367" max="4367" width="14" style="279" customWidth="1"/>
    <col min="4368" max="4373" width="13.109375" style="279" customWidth="1"/>
    <col min="4374" max="4374" width="12.88671875" style="279" customWidth="1"/>
    <col min="4375" max="4375" width="10.5546875" style="279" customWidth="1"/>
    <col min="4376" max="4376" width="11.77734375" style="279" customWidth="1"/>
    <col min="4377" max="4377" width="13" style="279" bestFit="1" customWidth="1"/>
    <col min="4378" max="4378" width="11.77734375" style="279" customWidth="1"/>
    <col min="4379" max="4379" width="12.88671875" style="279" customWidth="1"/>
    <col min="4380" max="4380" width="13.109375" style="279" customWidth="1"/>
    <col min="4381" max="4381" width="11.33203125" style="279" customWidth="1"/>
    <col min="4382" max="4382" width="14.21875" style="279" customWidth="1"/>
    <col min="4383" max="4383" width="12.21875" style="279" customWidth="1"/>
    <col min="4384" max="4384" width="0" style="279" hidden="1" customWidth="1"/>
    <col min="4385" max="4385" width="11.88671875" style="279" customWidth="1"/>
    <col min="4386" max="4386" width="8.88671875" style="279" customWidth="1"/>
    <col min="4387" max="4387" width="12.33203125" style="279" customWidth="1"/>
    <col min="4388" max="4388" width="1.44140625" style="279" customWidth="1"/>
    <col min="4389" max="4389" width="10.77734375" style="279" customWidth="1"/>
    <col min="4390" max="4390" width="1.44140625" style="279" customWidth="1"/>
    <col min="4391" max="4391" width="8" style="279" customWidth="1"/>
    <col min="4392" max="4392" width="1.44140625" style="279" customWidth="1"/>
    <col min="4393" max="4393" width="17.77734375" style="279" customWidth="1"/>
    <col min="4394" max="4394" width="1.44140625" style="279" customWidth="1"/>
    <col min="4395" max="4395" width="17.77734375" style="279" customWidth="1"/>
    <col min="4396" max="4396" width="1.44140625" style="279" customWidth="1"/>
    <col min="4397" max="4605" width="8" style="279"/>
    <col min="4606" max="4606" width="1.44140625" style="279" customWidth="1"/>
    <col min="4607" max="4607" width="4.5546875" style="279" customWidth="1"/>
    <col min="4608" max="4608" width="9.21875" style="279" customWidth="1"/>
    <col min="4609" max="4609" width="14.109375" style="279" bestFit="1" customWidth="1"/>
    <col min="4610" max="4611" width="12.33203125" style="279" customWidth="1"/>
    <col min="4612" max="4612" width="13" style="279" bestFit="1" customWidth="1"/>
    <col min="4613" max="4613" width="14" style="279" customWidth="1"/>
    <col min="4614" max="4614" width="14.109375" style="279" bestFit="1" customWidth="1"/>
    <col min="4615" max="4616" width="12.33203125" style="279" customWidth="1"/>
    <col min="4617" max="4617" width="14.5546875" style="279" customWidth="1"/>
    <col min="4618" max="4618" width="14.44140625" style="279" customWidth="1"/>
    <col min="4619" max="4619" width="13.77734375" style="279" customWidth="1"/>
    <col min="4620" max="4622" width="13.109375" style="279" customWidth="1"/>
    <col min="4623" max="4623" width="14" style="279" customWidth="1"/>
    <col min="4624" max="4629" width="13.109375" style="279" customWidth="1"/>
    <col min="4630" max="4630" width="12.88671875" style="279" customWidth="1"/>
    <col min="4631" max="4631" width="10.5546875" style="279" customWidth="1"/>
    <col min="4632" max="4632" width="11.77734375" style="279" customWidth="1"/>
    <col min="4633" max="4633" width="13" style="279" bestFit="1" customWidth="1"/>
    <col min="4634" max="4634" width="11.77734375" style="279" customWidth="1"/>
    <col min="4635" max="4635" width="12.88671875" style="279" customWidth="1"/>
    <col min="4636" max="4636" width="13.109375" style="279" customWidth="1"/>
    <col min="4637" max="4637" width="11.33203125" style="279" customWidth="1"/>
    <col min="4638" max="4638" width="14.21875" style="279" customWidth="1"/>
    <col min="4639" max="4639" width="12.21875" style="279" customWidth="1"/>
    <col min="4640" max="4640" width="0" style="279" hidden="1" customWidth="1"/>
    <col min="4641" max="4641" width="11.88671875" style="279" customWidth="1"/>
    <col min="4642" max="4642" width="8.88671875" style="279" customWidth="1"/>
    <col min="4643" max="4643" width="12.33203125" style="279" customWidth="1"/>
    <col min="4644" max="4644" width="1.44140625" style="279" customWidth="1"/>
    <col min="4645" max="4645" width="10.77734375" style="279" customWidth="1"/>
    <col min="4646" max="4646" width="1.44140625" style="279" customWidth="1"/>
    <col min="4647" max="4647" width="8" style="279" customWidth="1"/>
    <col min="4648" max="4648" width="1.44140625" style="279" customWidth="1"/>
    <col min="4649" max="4649" width="17.77734375" style="279" customWidth="1"/>
    <col min="4650" max="4650" width="1.44140625" style="279" customWidth="1"/>
    <col min="4651" max="4651" width="17.77734375" style="279" customWidth="1"/>
    <col min="4652" max="4652" width="1.44140625" style="279" customWidth="1"/>
    <col min="4653" max="4861" width="8" style="279"/>
    <col min="4862" max="4862" width="1.44140625" style="279" customWidth="1"/>
    <col min="4863" max="4863" width="4.5546875" style="279" customWidth="1"/>
    <col min="4864" max="4864" width="9.21875" style="279" customWidth="1"/>
    <col min="4865" max="4865" width="14.109375" style="279" bestFit="1" customWidth="1"/>
    <col min="4866" max="4867" width="12.33203125" style="279" customWidth="1"/>
    <col min="4868" max="4868" width="13" style="279" bestFit="1" customWidth="1"/>
    <col min="4869" max="4869" width="14" style="279" customWidth="1"/>
    <col min="4870" max="4870" width="14.109375" style="279" bestFit="1" customWidth="1"/>
    <col min="4871" max="4872" width="12.33203125" style="279" customWidth="1"/>
    <col min="4873" max="4873" width="14.5546875" style="279" customWidth="1"/>
    <col min="4874" max="4874" width="14.44140625" style="279" customWidth="1"/>
    <col min="4875" max="4875" width="13.77734375" style="279" customWidth="1"/>
    <col min="4876" max="4878" width="13.109375" style="279" customWidth="1"/>
    <col min="4879" max="4879" width="14" style="279" customWidth="1"/>
    <col min="4880" max="4885" width="13.109375" style="279" customWidth="1"/>
    <col min="4886" max="4886" width="12.88671875" style="279" customWidth="1"/>
    <col min="4887" max="4887" width="10.5546875" style="279" customWidth="1"/>
    <col min="4888" max="4888" width="11.77734375" style="279" customWidth="1"/>
    <col min="4889" max="4889" width="13" style="279" bestFit="1" customWidth="1"/>
    <col min="4890" max="4890" width="11.77734375" style="279" customWidth="1"/>
    <col min="4891" max="4891" width="12.88671875" style="279" customWidth="1"/>
    <col min="4892" max="4892" width="13.109375" style="279" customWidth="1"/>
    <col min="4893" max="4893" width="11.33203125" style="279" customWidth="1"/>
    <col min="4894" max="4894" width="14.21875" style="279" customWidth="1"/>
    <col min="4895" max="4895" width="12.21875" style="279" customWidth="1"/>
    <col min="4896" max="4896" width="0" style="279" hidden="1" customWidth="1"/>
    <col min="4897" max="4897" width="11.88671875" style="279" customWidth="1"/>
    <col min="4898" max="4898" width="8.88671875" style="279" customWidth="1"/>
    <col min="4899" max="4899" width="12.33203125" style="279" customWidth="1"/>
    <col min="4900" max="4900" width="1.44140625" style="279" customWidth="1"/>
    <col min="4901" max="4901" width="10.77734375" style="279" customWidth="1"/>
    <col min="4902" max="4902" width="1.44140625" style="279" customWidth="1"/>
    <col min="4903" max="4903" width="8" style="279" customWidth="1"/>
    <col min="4904" max="4904" width="1.44140625" style="279" customWidth="1"/>
    <col min="4905" max="4905" width="17.77734375" style="279" customWidth="1"/>
    <col min="4906" max="4906" width="1.44140625" style="279" customWidth="1"/>
    <col min="4907" max="4907" width="17.77734375" style="279" customWidth="1"/>
    <col min="4908" max="4908" width="1.44140625" style="279" customWidth="1"/>
    <col min="4909" max="5117" width="8" style="279"/>
    <col min="5118" max="5118" width="1.44140625" style="279" customWidth="1"/>
    <col min="5119" max="5119" width="4.5546875" style="279" customWidth="1"/>
    <col min="5120" max="5120" width="9.21875" style="279" customWidth="1"/>
    <col min="5121" max="5121" width="14.109375" style="279" bestFit="1" customWidth="1"/>
    <col min="5122" max="5123" width="12.33203125" style="279" customWidth="1"/>
    <col min="5124" max="5124" width="13" style="279" bestFit="1" customWidth="1"/>
    <col min="5125" max="5125" width="14" style="279" customWidth="1"/>
    <col min="5126" max="5126" width="14.109375" style="279" bestFit="1" customWidth="1"/>
    <col min="5127" max="5128" width="12.33203125" style="279" customWidth="1"/>
    <col min="5129" max="5129" width="14.5546875" style="279" customWidth="1"/>
    <col min="5130" max="5130" width="14.44140625" style="279" customWidth="1"/>
    <col min="5131" max="5131" width="13.77734375" style="279" customWidth="1"/>
    <col min="5132" max="5134" width="13.109375" style="279" customWidth="1"/>
    <col min="5135" max="5135" width="14" style="279" customWidth="1"/>
    <col min="5136" max="5141" width="13.109375" style="279" customWidth="1"/>
    <col min="5142" max="5142" width="12.88671875" style="279" customWidth="1"/>
    <col min="5143" max="5143" width="10.5546875" style="279" customWidth="1"/>
    <col min="5144" max="5144" width="11.77734375" style="279" customWidth="1"/>
    <col min="5145" max="5145" width="13" style="279" bestFit="1" customWidth="1"/>
    <col min="5146" max="5146" width="11.77734375" style="279" customWidth="1"/>
    <col min="5147" max="5147" width="12.88671875" style="279" customWidth="1"/>
    <col min="5148" max="5148" width="13.109375" style="279" customWidth="1"/>
    <col min="5149" max="5149" width="11.33203125" style="279" customWidth="1"/>
    <col min="5150" max="5150" width="14.21875" style="279" customWidth="1"/>
    <col min="5151" max="5151" width="12.21875" style="279" customWidth="1"/>
    <col min="5152" max="5152" width="0" style="279" hidden="1" customWidth="1"/>
    <col min="5153" max="5153" width="11.88671875" style="279" customWidth="1"/>
    <col min="5154" max="5154" width="8.88671875" style="279" customWidth="1"/>
    <col min="5155" max="5155" width="12.33203125" style="279" customWidth="1"/>
    <col min="5156" max="5156" width="1.44140625" style="279" customWidth="1"/>
    <col min="5157" max="5157" width="10.77734375" style="279" customWidth="1"/>
    <col min="5158" max="5158" width="1.44140625" style="279" customWidth="1"/>
    <col min="5159" max="5159" width="8" style="279" customWidth="1"/>
    <col min="5160" max="5160" width="1.44140625" style="279" customWidth="1"/>
    <col min="5161" max="5161" width="17.77734375" style="279" customWidth="1"/>
    <col min="5162" max="5162" width="1.44140625" style="279" customWidth="1"/>
    <col min="5163" max="5163" width="17.77734375" style="279" customWidth="1"/>
    <col min="5164" max="5164" width="1.44140625" style="279" customWidth="1"/>
    <col min="5165" max="5373" width="8" style="279"/>
    <col min="5374" max="5374" width="1.44140625" style="279" customWidth="1"/>
    <col min="5375" max="5375" width="4.5546875" style="279" customWidth="1"/>
    <col min="5376" max="5376" width="9.21875" style="279" customWidth="1"/>
    <col min="5377" max="5377" width="14.109375" style="279" bestFit="1" customWidth="1"/>
    <col min="5378" max="5379" width="12.33203125" style="279" customWidth="1"/>
    <col min="5380" max="5380" width="13" style="279" bestFit="1" customWidth="1"/>
    <col min="5381" max="5381" width="14" style="279" customWidth="1"/>
    <col min="5382" max="5382" width="14.109375" style="279" bestFit="1" customWidth="1"/>
    <col min="5383" max="5384" width="12.33203125" style="279" customWidth="1"/>
    <col min="5385" max="5385" width="14.5546875" style="279" customWidth="1"/>
    <col min="5386" max="5386" width="14.44140625" style="279" customWidth="1"/>
    <col min="5387" max="5387" width="13.77734375" style="279" customWidth="1"/>
    <col min="5388" max="5390" width="13.109375" style="279" customWidth="1"/>
    <col min="5391" max="5391" width="14" style="279" customWidth="1"/>
    <col min="5392" max="5397" width="13.109375" style="279" customWidth="1"/>
    <col min="5398" max="5398" width="12.88671875" style="279" customWidth="1"/>
    <col min="5399" max="5399" width="10.5546875" style="279" customWidth="1"/>
    <col min="5400" max="5400" width="11.77734375" style="279" customWidth="1"/>
    <col min="5401" max="5401" width="13" style="279" bestFit="1" customWidth="1"/>
    <col min="5402" max="5402" width="11.77734375" style="279" customWidth="1"/>
    <col min="5403" max="5403" width="12.88671875" style="279" customWidth="1"/>
    <col min="5404" max="5404" width="13.109375" style="279" customWidth="1"/>
    <col min="5405" max="5405" width="11.33203125" style="279" customWidth="1"/>
    <col min="5406" max="5406" width="14.21875" style="279" customWidth="1"/>
    <col min="5407" max="5407" width="12.21875" style="279" customWidth="1"/>
    <col min="5408" max="5408" width="0" style="279" hidden="1" customWidth="1"/>
    <col min="5409" max="5409" width="11.88671875" style="279" customWidth="1"/>
    <col min="5410" max="5410" width="8.88671875" style="279" customWidth="1"/>
    <col min="5411" max="5411" width="12.33203125" style="279" customWidth="1"/>
    <col min="5412" max="5412" width="1.44140625" style="279" customWidth="1"/>
    <col min="5413" max="5413" width="10.77734375" style="279" customWidth="1"/>
    <col min="5414" max="5414" width="1.44140625" style="279" customWidth="1"/>
    <col min="5415" max="5415" width="8" style="279" customWidth="1"/>
    <col min="5416" max="5416" width="1.44140625" style="279" customWidth="1"/>
    <col min="5417" max="5417" width="17.77734375" style="279" customWidth="1"/>
    <col min="5418" max="5418" width="1.44140625" style="279" customWidth="1"/>
    <col min="5419" max="5419" width="17.77734375" style="279" customWidth="1"/>
    <col min="5420" max="5420" width="1.44140625" style="279" customWidth="1"/>
    <col min="5421" max="5629" width="8" style="279"/>
    <col min="5630" max="5630" width="1.44140625" style="279" customWidth="1"/>
    <col min="5631" max="5631" width="4.5546875" style="279" customWidth="1"/>
    <col min="5632" max="5632" width="9.21875" style="279" customWidth="1"/>
    <col min="5633" max="5633" width="14.109375" style="279" bestFit="1" customWidth="1"/>
    <col min="5634" max="5635" width="12.33203125" style="279" customWidth="1"/>
    <col min="5636" max="5636" width="13" style="279" bestFit="1" customWidth="1"/>
    <col min="5637" max="5637" width="14" style="279" customWidth="1"/>
    <col min="5638" max="5638" width="14.109375" style="279" bestFit="1" customWidth="1"/>
    <col min="5639" max="5640" width="12.33203125" style="279" customWidth="1"/>
    <col min="5641" max="5641" width="14.5546875" style="279" customWidth="1"/>
    <col min="5642" max="5642" width="14.44140625" style="279" customWidth="1"/>
    <col min="5643" max="5643" width="13.77734375" style="279" customWidth="1"/>
    <col min="5644" max="5646" width="13.109375" style="279" customWidth="1"/>
    <col min="5647" max="5647" width="14" style="279" customWidth="1"/>
    <col min="5648" max="5653" width="13.109375" style="279" customWidth="1"/>
    <col min="5654" max="5654" width="12.88671875" style="279" customWidth="1"/>
    <col min="5655" max="5655" width="10.5546875" style="279" customWidth="1"/>
    <col min="5656" max="5656" width="11.77734375" style="279" customWidth="1"/>
    <col min="5657" max="5657" width="13" style="279" bestFit="1" customWidth="1"/>
    <col min="5658" max="5658" width="11.77734375" style="279" customWidth="1"/>
    <col min="5659" max="5659" width="12.88671875" style="279" customWidth="1"/>
    <col min="5660" max="5660" width="13.109375" style="279" customWidth="1"/>
    <col min="5661" max="5661" width="11.33203125" style="279" customWidth="1"/>
    <col min="5662" max="5662" width="14.21875" style="279" customWidth="1"/>
    <col min="5663" max="5663" width="12.21875" style="279" customWidth="1"/>
    <col min="5664" max="5664" width="0" style="279" hidden="1" customWidth="1"/>
    <col min="5665" max="5665" width="11.88671875" style="279" customWidth="1"/>
    <col min="5666" max="5666" width="8.88671875" style="279" customWidth="1"/>
    <col min="5667" max="5667" width="12.33203125" style="279" customWidth="1"/>
    <col min="5668" max="5668" width="1.44140625" style="279" customWidth="1"/>
    <col min="5669" max="5669" width="10.77734375" style="279" customWidth="1"/>
    <col min="5670" max="5670" width="1.44140625" style="279" customWidth="1"/>
    <col min="5671" max="5671" width="8" style="279" customWidth="1"/>
    <col min="5672" max="5672" width="1.44140625" style="279" customWidth="1"/>
    <col min="5673" max="5673" width="17.77734375" style="279" customWidth="1"/>
    <col min="5674" max="5674" width="1.44140625" style="279" customWidth="1"/>
    <col min="5675" max="5675" width="17.77734375" style="279" customWidth="1"/>
    <col min="5676" max="5676" width="1.44140625" style="279" customWidth="1"/>
    <col min="5677" max="5885" width="8" style="279"/>
    <col min="5886" max="5886" width="1.44140625" style="279" customWidth="1"/>
    <col min="5887" max="5887" width="4.5546875" style="279" customWidth="1"/>
    <col min="5888" max="5888" width="9.21875" style="279" customWidth="1"/>
    <col min="5889" max="5889" width="14.109375" style="279" bestFit="1" customWidth="1"/>
    <col min="5890" max="5891" width="12.33203125" style="279" customWidth="1"/>
    <col min="5892" max="5892" width="13" style="279" bestFit="1" customWidth="1"/>
    <col min="5893" max="5893" width="14" style="279" customWidth="1"/>
    <col min="5894" max="5894" width="14.109375" style="279" bestFit="1" customWidth="1"/>
    <col min="5895" max="5896" width="12.33203125" style="279" customWidth="1"/>
    <col min="5897" max="5897" width="14.5546875" style="279" customWidth="1"/>
    <col min="5898" max="5898" width="14.44140625" style="279" customWidth="1"/>
    <col min="5899" max="5899" width="13.77734375" style="279" customWidth="1"/>
    <col min="5900" max="5902" width="13.109375" style="279" customWidth="1"/>
    <col min="5903" max="5903" width="14" style="279" customWidth="1"/>
    <col min="5904" max="5909" width="13.109375" style="279" customWidth="1"/>
    <col min="5910" max="5910" width="12.88671875" style="279" customWidth="1"/>
    <col min="5911" max="5911" width="10.5546875" style="279" customWidth="1"/>
    <col min="5912" max="5912" width="11.77734375" style="279" customWidth="1"/>
    <col min="5913" max="5913" width="13" style="279" bestFit="1" customWidth="1"/>
    <col min="5914" max="5914" width="11.77734375" style="279" customWidth="1"/>
    <col min="5915" max="5915" width="12.88671875" style="279" customWidth="1"/>
    <col min="5916" max="5916" width="13.109375" style="279" customWidth="1"/>
    <col min="5917" max="5917" width="11.33203125" style="279" customWidth="1"/>
    <col min="5918" max="5918" width="14.21875" style="279" customWidth="1"/>
    <col min="5919" max="5919" width="12.21875" style="279" customWidth="1"/>
    <col min="5920" max="5920" width="0" style="279" hidden="1" customWidth="1"/>
    <col min="5921" max="5921" width="11.88671875" style="279" customWidth="1"/>
    <col min="5922" max="5922" width="8.88671875" style="279" customWidth="1"/>
    <col min="5923" max="5923" width="12.33203125" style="279" customWidth="1"/>
    <col min="5924" max="5924" width="1.44140625" style="279" customWidth="1"/>
    <col min="5925" max="5925" width="10.77734375" style="279" customWidth="1"/>
    <col min="5926" max="5926" width="1.44140625" style="279" customWidth="1"/>
    <col min="5927" max="5927" width="8" style="279" customWidth="1"/>
    <col min="5928" max="5928" width="1.44140625" style="279" customWidth="1"/>
    <col min="5929" max="5929" width="17.77734375" style="279" customWidth="1"/>
    <col min="5930" max="5930" width="1.44140625" style="279" customWidth="1"/>
    <col min="5931" max="5931" width="17.77734375" style="279" customWidth="1"/>
    <col min="5932" max="5932" width="1.44140625" style="279" customWidth="1"/>
    <col min="5933" max="6141" width="8" style="279"/>
    <col min="6142" max="6142" width="1.44140625" style="279" customWidth="1"/>
    <col min="6143" max="6143" width="4.5546875" style="279" customWidth="1"/>
    <col min="6144" max="6144" width="9.21875" style="279" customWidth="1"/>
    <col min="6145" max="6145" width="14.109375" style="279" bestFit="1" customWidth="1"/>
    <col min="6146" max="6147" width="12.33203125" style="279" customWidth="1"/>
    <col min="6148" max="6148" width="13" style="279" bestFit="1" customWidth="1"/>
    <col min="6149" max="6149" width="14" style="279" customWidth="1"/>
    <col min="6150" max="6150" width="14.109375" style="279" bestFit="1" customWidth="1"/>
    <col min="6151" max="6152" width="12.33203125" style="279" customWidth="1"/>
    <col min="6153" max="6153" width="14.5546875" style="279" customWidth="1"/>
    <col min="6154" max="6154" width="14.44140625" style="279" customWidth="1"/>
    <col min="6155" max="6155" width="13.77734375" style="279" customWidth="1"/>
    <col min="6156" max="6158" width="13.109375" style="279" customWidth="1"/>
    <col min="6159" max="6159" width="14" style="279" customWidth="1"/>
    <col min="6160" max="6165" width="13.109375" style="279" customWidth="1"/>
    <col min="6166" max="6166" width="12.88671875" style="279" customWidth="1"/>
    <col min="6167" max="6167" width="10.5546875" style="279" customWidth="1"/>
    <col min="6168" max="6168" width="11.77734375" style="279" customWidth="1"/>
    <col min="6169" max="6169" width="13" style="279" bestFit="1" customWidth="1"/>
    <col min="6170" max="6170" width="11.77734375" style="279" customWidth="1"/>
    <col min="6171" max="6171" width="12.88671875" style="279" customWidth="1"/>
    <col min="6172" max="6172" width="13.109375" style="279" customWidth="1"/>
    <col min="6173" max="6173" width="11.33203125" style="279" customWidth="1"/>
    <col min="6174" max="6174" width="14.21875" style="279" customWidth="1"/>
    <col min="6175" max="6175" width="12.21875" style="279" customWidth="1"/>
    <col min="6176" max="6176" width="0" style="279" hidden="1" customWidth="1"/>
    <col min="6177" max="6177" width="11.88671875" style="279" customWidth="1"/>
    <col min="6178" max="6178" width="8.88671875" style="279" customWidth="1"/>
    <col min="6179" max="6179" width="12.33203125" style="279" customWidth="1"/>
    <col min="6180" max="6180" width="1.44140625" style="279" customWidth="1"/>
    <col min="6181" max="6181" width="10.77734375" style="279" customWidth="1"/>
    <col min="6182" max="6182" width="1.44140625" style="279" customWidth="1"/>
    <col min="6183" max="6183" width="8" style="279" customWidth="1"/>
    <col min="6184" max="6184" width="1.44140625" style="279" customWidth="1"/>
    <col min="6185" max="6185" width="17.77734375" style="279" customWidth="1"/>
    <col min="6186" max="6186" width="1.44140625" style="279" customWidth="1"/>
    <col min="6187" max="6187" width="17.77734375" style="279" customWidth="1"/>
    <col min="6188" max="6188" width="1.44140625" style="279" customWidth="1"/>
    <col min="6189" max="6397" width="8" style="279"/>
    <col min="6398" max="6398" width="1.44140625" style="279" customWidth="1"/>
    <col min="6399" max="6399" width="4.5546875" style="279" customWidth="1"/>
    <col min="6400" max="6400" width="9.21875" style="279" customWidth="1"/>
    <col min="6401" max="6401" width="14.109375" style="279" bestFit="1" customWidth="1"/>
    <col min="6402" max="6403" width="12.33203125" style="279" customWidth="1"/>
    <col min="6404" max="6404" width="13" style="279" bestFit="1" customWidth="1"/>
    <col min="6405" max="6405" width="14" style="279" customWidth="1"/>
    <col min="6406" max="6406" width="14.109375" style="279" bestFit="1" customWidth="1"/>
    <col min="6407" max="6408" width="12.33203125" style="279" customWidth="1"/>
    <col min="6409" max="6409" width="14.5546875" style="279" customWidth="1"/>
    <col min="6410" max="6410" width="14.44140625" style="279" customWidth="1"/>
    <col min="6411" max="6411" width="13.77734375" style="279" customWidth="1"/>
    <col min="6412" max="6414" width="13.109375" style="279" customWidth="1"/>
    <col min="6415" max="6415" width="14" style="279" customWidth="1"/>
    <col min="6416" max="6421" width="13.109375" style="279" customWidth="1"/>
    <col min="6422" max="6422" width="12.88671875" style="279" customWidth="1"/>
    <col min="6423" max="6423" width="10.5546875" style="279" customWidth="1"/>
    <col min="6424" max="6424" width="11.77734375" style="279" customWidth="1"/>
    <col min="6425" max="6425" width="13" style="279" bestFit="1" customWidth="1"/>
    <col min="6426" max="6426" width="11.77734375" style="279" customWidth="1"/>
    <col min="6427" max="6427" width="12.88671875" style="279" customWidth="1"/>
    <col min="6428" max="6428" width="13.109375" style="279" customWidth="1"/>
    <col min="6429" max="6429" width="11.33203125" style="279" customWidth="1"/>
    <col min="6430" max="6430" width="14.21875" style="279" customWidth="1"/>
    <col min="6431" max="6431" width="12.21875" style="279" customWidth="1"/>
    <col min="6432" max="6432" width="0" style="279" hidden="1" customWidth="1"/>
    <col min="6433" max="6433" width="11.88671875" style="279" customWidth="1"/>
    <col min="6434" max="6434" width="8.88671875" style="279" customWidth="1"/>
    <col min="6435" max="6435" width="12.33203125" style="279" customWidth="1"/>
    <col min="6436" max="6436" width="1.44140625" style="279" customWidth="1"/>
    <col min="6437" max="6437" width="10.77734375" style="279" customWidth="1"/>
    <col min="6438" max="6438" width="1.44140625" style="279" customWidth="1"/>
    <col min="6439" max="6439" width="8" style="279" customWidth="1"/>
    <col min="6440" max="6440" width="1.44140625" style="279" customWidth="1"/>
    <col min="6441" max="6441" width="17.77734375" style="279" customWidth="1"/>
    <col min="6442" max="6442" width="1.44140625" style="279" customWidth="1"/>
    <col min="6443" max="6443" width="17.77734375" style="279" customWidth="1"/>
    <col min="6444" max="6444" width="1.44140625" style="279" customWidth="1"/>
    <col min="6445" max="6653" width="8" style="279"/>
    <col min="6654" max="6654" width="1.44140625" style="279" customWidth="1"/>
    <col min="6655" max="6655" width="4.5546875" style="279" customWidth="1"/>
    <col min="6656" max="6656" width="9.21875" style="279" customWidth="1"/>
    <col min="6657" max="6657" width="14.109375" style="279" bestFit="1" customWidth="1"/>
    <col min="6658" max="6659" width="12.33203125" style="279" customWidth="1"/>
    <col min="6660" max="6660" width="13" style="279" bestFit="1" customWidth="1"/>
    <col min="6661" max="6661" width="14" style="279" customWidth="1"/>
    <col min="6662" max="6662" width="14.109375" style="279" bestFit="1" customWidth="1"/>
    <col min="6663" max="6664" width="12.33203125" style="279" customWidth="1"/>
    <col min="6665" max="6665" width="14.5546875" style="279" customWidth="1"/>
    <col min="6666" max="6666" width="14.44140625" style="279" customWidth="1"/>
    <col min="6667" max="6667" width="13.77734375" style="279" customWidth="1"/>
    <col min="6668" max="6670" width="13.109375" style="279" customWidth="1"/>
    <col min="6671" max="6671" width="14" style="279" customWidth="1"/>
    <col min="6672" max="6677" width="13.109375" style="279" customWidth="1"/>
    <col min="6678" max="6678" width="12.88671875" style="279" customWidth="1"/>
    <col min="6679" max="6679" width="10.5546875" style="279" customWidth="1"/>
    <col min="6680" max="6680" width="11.77734375" style="279" customWidth="1"/>
    <col min="6681" max="6681" width="13" style="279" bestFit="1" customWidth="1"/>
    <col min="6682" max="6682" width="11.77734375" style="279" customWidth="1"/>
    <col min="6683" max="6683" width="12.88671875" style="279" customWidth="1"/>
    <col min="6684" max="6684" width="13.109375" style="279" customWidth="1"/>
    <col min="6685" max="6685" width="11.33203125" style="279" customWidth="1"/>
    <col min="6686" max="6686" width="14.21875" style="279" customWidth="1"/>
    <col min="6687" max="6687" width="12.21875" style="279" customWidth="1"/>
    <col min="6688" max="6688" width="0" style="279" hidden="1" customWidth="1"/>
    <col min="6689" max="6689" width="11.88671875" style="279" customWidth="1"/>
    <col min="6690" max="6690" width="8.88671875" style="279" customWidth="1"/>
    <col min="6691" max="6691" width="12.33203125" style="279" customWidth="1"/>
    <col min="6692" max="6692" width="1.44140625" style="279" customWidth="1"/>
    <col min="6693" max="6693" width="10.77734375" style="279" customWidth="1"/>
    <col min="6694" max="6694" width="1.44140625" style="279" customWidth="1"/>
    <col min="6695" max="6695" width="8" style="279" customWidth="1"/>
    <col min="6696" max="6696" width="1.44140625" style="279" customWidth="1"/>
    <col min="6697" max="6697" width="17.77734375" style="279" customWidth="1"/>
    <col min="6698" max="6698" width="1.44140625" style="279" customWidth="1"/>
    <col min="6699" max="6699" width="17.77734375" style="279" customWidth="1"/>
    <col min="6700" max="6700" width="1.44140625" style="279" customWidth="1"/>
    <col min="6701" max="6909" width="8" style="279"/>
    <col min="6910" max="6910" width="1.44140625" style="279" customWidth="1"/>
    <col min="6911" max="6911" width="4.5546875" style="279" customWidth="1"/>
    <col min="6912" max="6912" width="9.21875" style="279" customWidth="1"/>
    <col min="6913" max="6913" width="14.109375" style="279" bestFit="1" customWidth="1"/>
    <col min="6914" max="6915" width="12.33203125" style="279" customWidth="1"/>
    <col min="6916" max="6916" width="13" style="279" bestFit="1" customWidth="1"/>
    <col min="6917" max="6917" width="14" style="279" customWidth="1"/>
    <col min="6918" max="6918" width="14.109375" style="279" bestFit="1" customWidth="1"/>
    <col min="6919" max="6920" width="12.33203125" style="279" customWidth="1"/>
    <col min="6921" max="6921" width="14.5546875" style="279" customWidth="1"/>
    <col min="6922" max="6922" width="14.44140625" style="279" customWidth="1"/>
    <col min="6923" max="6923" width="13.77734375" style="279" customWidth="1"/>
    <col min="6924" max="6926" width="13.109375" style="279" customWidth="1"/>
    <col min="6927" max="6927" width="14" style="279" customWidth="1"/>
    <col min="6928" max="6933" width="13.109375" style="279" customWidth="1"/>
    <col min="6934" max="6934" width="12.88671875" style="279" customWidth="1"/>
    <col min="6935" max="6935" width="10.5546875" style="279" customWidth="1"/>
    <col min="6936" max="6936" width="11.77734375" style="279" customWidth="1"/>
    <col min="6937" max="6937" width="13" style="279" bestFit="1" customWidth="1"/>
    <col min="6938" max="6938" width="11.77734375" style="279" customWidth="1"/>
    <col min="6939" max="6939" width="12.88671875" style="279" customWidth="1"/>
    <col min="6940" max="6940" width="13.109375" style="279" customWidth="1"/>
    <col min="6941" max="6941" width="11.33203125" style="279" customWidth="1"/>
    <col min="6942" max="6942" width="14.21875" style="279" customWidth="1"/>
    <col min="6943" max="6943" width="12.21875" style="279" customWidth="1"/>
    <col min="6944" max="6944" width="0" style="279" hidden="1" customWidth="1"/>
    <col min="6945" max="6945" width="11.88671875" style="279" customWidth="1"/>
    <col min="6946" max="6946" width="8.88671875" style="279" customWidth="1"/>
    <col min="6947" max="6947" width="12.33203125" style="279" customWidth="1"/>
    <col min="6948" max="6948" width="1.44140625" style="279" customWidth="1"/>
    <col min="6949" max="6949" width="10.77734375" style="279" customWidth="1"/>
    <col min="6950" max="6950" width="1.44140625" style="279" customWidth="1"/>
    <col min="6951" max="6951" width="8" style="279" customWidth="1"/>
    <col min="6952" max="6952" width="1.44140625" style="279" customWidth="1"/>
    <col min="6953" max="6953" width="17.77734375" style="279" customWidth="1"/>
    <col min="6954" max="6954" width="1.44140625" style="279" customWidth="1"/>
    <col min="6955" max="6955" width="17.77734375" style="279" customWidth="1"/>
    <col min="6956" max="6956" width="1.44140625" style="279" customWidth="1"/>
    <col min="6957" max="7165" width="8" style="279"/>
    <col min="7166" max="7166" width="1.44140625" style="279" customWidth="1"/>
    <col min="7167" max="7167" width="4.5546875" style="279" customWidth="1"/>
    <col min="7168" max="7168" width="9.21875" style="279" customWidth="1"/>
    <col min="7169" max="7169" width="14.109375" style="279" bestFit="1" customWidth="1"/>
    <col min="7170" max="7171" width="12.33203125" style="279" customWidth="1"/>
    <col min="7172" max="7172" width="13" style="279" bestFit="1" customWidth="1"/>
    <col min="7173" max="7173" width="14" style="279" customWidth="1"/>
    <col min="7174" max="7174" width="14.109375" style="279" bestFit="1" customWidth="1"/>
    <col min="7175" max="7176" width="12.33203125" style="279" customWidth="1"/>
    <col min="7177" max="7177" width="14.5546875" style="279" customWidth="1"/>
    <col min="7178" max="7178" width="14.44140625" style="279" customWidth="1"/>
    <col min="7179" max="7179" width="13.77734375" style="279" customWidth="1"/>
    <col min="7180" max="7182" width="13.109375" style="279" customWidth="1"/>
    <col min="7183" max="7183" width="14" style="279" customWidth="1"/>
    <col min="7184" max="7189" width="13.109375" style="279" customWidth="1"/>
    <col min="7190" max="7190" width="12.88671875" style="279" customWidth="1"/>
    <col min="7191" max="7191" width="10.5546875" style="279" customWidth="1"/>
    <col min="7192" max="7192" width="11.77734375" style="279" customWidth="1"/>
    <col min="7193" max="7193" width="13" style="279" bestFit="1" customWidth="1"/>
    <col min="7194" max="7194" width="11.77734375" style="279" customWidth="1"/>
    <col min="7195" max="7195" width="12.88671875" style="279" customWidth="1"/>
    <col min="7196" max="7196" width="13.109375" style="279" customWidth="1"/>
    <col min="7197" max="7197" width="11.33203125" style="279" customWidth="1"/>
    <col min="7198" max="7198" width="14.21875" style="279" customWidth="1"/>
    <col min="7199" max="7199" width="12.21875" style="279" customWidth="1"/>
    <col min="7200" max="7200" width="0" style="279" hidden="1" customWidth="1"/>
    <col min="7201" max="7201" width="11.88671875" style="279" customWidth="1"/>
    <col min="7202" max="7202" width="8.88671875" style="279" customWidth="1"/>
    <col min="7203" max="7203" width="12.33203125" style="279" customWidth="1"/>
    <col min="7204" max="7204" width="1.44140625" style="279" customWidth="1"/>
    <col min="7205" max="7205" width="10.77734375" style="279" customWidth="1"/>
    <col min="7206" max="7206" width="1.44140625" style="279" customWidth="1"/>
    <col min="7207" max="7207" width="8" style="279" customWidth="1"/>
    <col min="7208" max="7208" width="1.44140625" style="279" customWidth="1"/>
    <col min="7209" max="7209" width="17.77734375" style="279" customWidth="1"/>
    <col min="7210" max="7210" width="1.44140625" style="279" customWidth="1"/>
    <col min="7211" max="7211" width="17.77734375" style="279" customWidth="1"/>
    <col min="7212" max="7212" width="1.44140625" style="279" customWidth="1"/>
    <col min="7213" max="7421" width="8" style="279"/>
    <col min="7422" max="7422" width="1.44140625" style="279" customWidth="1"/>
    <col min="7423" max="7423" width="4.5546875" style="279" customWidth="1"/>
    <col min="7424" max="7424" width="9.21875" style="279" customWidth="1"/>
    <col min="7425" max="7425" width="14.109375" style="279" bestFit="1" customWidth="1"/>
    <col min="7426" max="7427" width="12.33203125" style="279" customWidth="1"/>
    <col min="7428" max="7428" width="13" style="279" bestFit="1" customWidth="1"/>
    <col min="7429" max="7429" width="14" style="279" customWidth="1"/>
    <col min="7430" max="7430" width="14.109375" style="279" bestFit="1" customWidth="1"/>
    <col min="7431" max="7432" width="12.33203125" style="279" customWidth="1"/>
    <col min="7433" max="7433" width="14.5546875" style="279" customWidth="1"/>
    <col min="7434" max="7434" width="14.44140625" style="279" customWidth="1"/>
    <col min="7435" max="7435" width="13.77734375" style="279" customWidth="1"/>
    <col min="7436" max="7438" width="13.109375" style="279" customWidth="1"/>
    <col min="7439" max="7439" width="14" style="279" customWidth="1"/>
    <col min="7440" max="7445" width="13.109375" style="279" customWidth="1"/>
    <col min="7446" max="7446" width="12.88671875" style="279" customWidth="1"/>
    <col min="7447" max="7447" width="10.5546875" style="279" customWidth="1"/>
    <col min="7448" max="7448" width="11.77734375" style="279" customWidth="1"/>
    <col min="7449" max="7449" width="13" style="279" bestFit="1" customWidth="1"/>
    <col min="7450" max="7450" width="11.77734375" style="279" customWidth="1"/>
    <col min="7451" max="7451" width="12.88671875" style="279" customWidth="1"/>
    <col min="7452" max="7452" width="13.109375" style="279" customWidth="1"/>
    <col min="7453" max="7453" width="11.33203125" style="279" customWidth="1"/>
    <col min="7454" max="7454" width="14.21875" style="279" customWidth="1"/>
    <col min="7455" max="7455" width="12.21875" style="279" customWidth="1"/>
    <col min="7456" max="7456" width="0" style="279" hidden="1" customWidth="1"/>
    <col min="7457" max="7457" width="11.88671875" style="279" customWidth="1"/>
    <col min="7458" max="7458" width="8.88671875" style="279" customWidth="1"/>
    <col min="7459" max="7459" width="12.33203125" style="279" customWidth="1"/>
    <col min="7460" max="7460" width="1.44140625" style="279" customWidth="1"/>
    <col min="7461" max="7461" width="10.77734375" style="279" customWidth="1"/>
    <col min="7462" max="7462" width="1.44140625" style="279" customWidth="1"/>
    <col min="7463" max="7463" width="8" style="279" customWidth="1"/>
    <col min="7464" max="7464" width="1.44140625" style="279" customWidth="1"/>
    <col min="7465" max="7465" width="17.77734375" style="279" customWidth="1"/>
    <col min="7466" max="7466" width="1.44140625" style="279" customWidth="1"/>
    <col min="7467" max="7467" width="17.77734375" style="279" customWidth="1"/>
    <col min="7468" max="7468" width="1.44140625" style="279" customWidth="1"/>
    <col min="7469" max="7677" width="8" style="279"/>
    <col min="7678" max="7678" width="1.44140625" style="279" customWidth="1"/>
    <col min="7679" max="7679" width="4.5546875" style="279" customWidth="1"/>
    <col min="7680" max="7680" width="9.21875" style="279" customWidth="1"/>
    <col min="7681" max="7681" width="14.109375" style="279" bestFit="1" customWidth="1"/>
    <col min="7682" max="7683" width="12.33203125" style="279" customWidth="1"/>
    <col min="7684" max="7684" width="13" style="279" bestFit="1" customWidth="1"/>
    <col min="7685" max="7685" width="14" style="279" customWidth="1"/>
    <col min="7686" max="7686" width="14.109375" style="279" bestFit="1" customWidth="1"/>
    <col min="7687" max="7688" width="12.33203125" style="279" customWidth="1"/>
    <col min="7689" max="7689" width="14.5546875" style="279" customWidth="1"/>
    <col min="7690" max="7690" width="14.44140625" style="279" customWidth="1"/>
    <col min="7691" max="7691" width="13.77734375" style="279" customWidth="1"/>
    <col min="7692" max="7694" width="13.109375" style="279" customWidth="1"/>
    <col min="7695" max="7695" width="14" style="279" customWidth="1"/>
    <col min="7696" max="7701" width="13.109375" style="279" customWidth="1"/>
    <col min="7702" max="7702" width="12.88671875" style="279" customWidth="1"/>
    <col min="7703" max="7703" width="10.5546875" style="279" customWidth="1"/>
    <col min="7704" max="7704" width="11.77734375" style="279" customWidth="1"/>
    <col min="7705" max="7705" width="13" style="279" bestFit="1" customWidth="1"/>
    <col min="7706" max="7706" width="11.77734375" style="279" customWidth="1"/>
    <col min="7707" max="7707" width="12.88671875" style="279" customWidth="1"/>
    <col min="7708" max="7708" width="13.109375" style="279" customWidth="1"/>
    <col min="7709" max="7709" width="11.33203125" style="279" customWidth="1"/>
    <col min="7710" max="7710" width="14.21875" style="279" customWidth="1"/>
    <col min="7711" max="7711" width="12.21875" style="279" customWidth="1"/>
    <col min="7712" max="7712" width="0" style="279" hidden="1" customWidth="1"/>
    <col min="7713" max="7713" width="11.88671875" style="279" customWidth="1"/>
    <col min="7714" max="7714" width="8.88671875" style="279" customWidth="1"/>
    <col min="7715" max="7715" width="12.33203125" style="279" customWidth="1"/>
    <col min="7716" max="7716" width="1.44140625" style="279" customWidth="1"/>
    <col min="7717" max="7717" width="10.77734375" style="279" customWidth="1"/>
    <col min="7718" max="7718" width="1.44140625" style="279" customWidth="1"/>
    <col min="7719" max="7719" width="8" style="279" customWidth="1"/>
    <col min="7720" max="7720" width="1.44140625" style="279" customWidth="1"/>
    <col min="7721" max="7721" width="17.77734375" style="279" customWidth="1"/>
    <col min="7722" max="7722" width="1.44140625" style="279" customWidth="1"/>
    <col min="7723" max="7723" width="17.77734375" style="279" customWidth="1"/>
    <col min="7724" max="7724" width="1.44140625" style="279" customWidth="1"/>
    <col min="7725" max="7933" width="8" style="279"/>
    <col min="7934" max="7934" width="1.44140625" style="279" customWidth="1"/>
    <col min="7935" max="7935" width="4.5546875" style="279" customWidth="1"/>
    <col min="7936" max="7936" width="9.21875" style="279" customWidth="1"/>
    <col min="7937" max="7937" width="14.109375" style="279" bestFit="1" customWidth="1"/>
    <col min="7938" max="7939" width="12.33203125" style="279" customWidth="1"/>
    <col min="7940" max="7940" width="13" style="279" bestFit="1" customWidth="1"/>
    <col min="7941" max="7941" width="14" style="279" customWidth="1"/>
    <col min="7942" max="7942" width="14.109375" style="279" bestFit="1" customWidth="1"/>
    <col min="7943" max="7944" width="12.33203125" style="279" customWidth="1"/>
    <col min="7945" max="7945" width="14.5546875" style="279" customWidth="1"/>
    <col min="7946" max="7946" width="14.44140625" style="279" customWidth="1"/>
    <col min="7947" max="7947" width="13.77734375" style="279" customWidth="1"/>
    <col min="7948" max="7950" width="13.109375" style="279" customWidth="1"/>
    <col min="7951" max="7951" width="14" style="279" customWidth="1"/>
    <col min="7952" max="7957" width="13.109375" style="279" customWidth="1"/>
    <col min="7958" max="7958" width="12.88671875" style="279" customWidth="1"/>
    <col min="7959" max="7959" width="10.5546875" style="279" customWidth="1"/>
    <col min="7960" max="7960" width="11.77734375" style="279" customWidth="1"/>
    <col min="7961" max="7961" width="13" style="279" bestFit="1" customWidth="1"/>
    <col min="7962" max="7962" width="11.77734375" style="279" customWidth="1"/>
    <col min="7963" max="7963" width="12.88671875" style="279" customWidth="1"/>
    <col min="7964" max="7964" width="13.109375" style="279" customWidth="1"/>
    <col min="7965" max="7965" width="11.33203125" style="279" customWidth="1"/>
    <col min="7966" max="7966" width="14.21875" style="279" customWidth="1"/>
    <col min="7967" max="7967" width="12.21875" style="279" customWidth="1"/>
    <col min="7968" max="7968" width="0" style="279" hidden="1" customWidth="1"/>
    <col min="7969" max="7969" width="11.88671875" style="279" customWidth="1"/>
    <col min="7970" max="7970" width="8.88671875" style="279" customWidth="1"/>
    <col min="7971" max="7971" width="12.33203125" style="279" customWidth="1"/>
    <col min="7972" max="7972" width="1.44140625" style="279" customWidth="1"/>
    <col min="7973" max="7973" width="10.77734375" style="279" customWidth="1"/>
    <col min="7974" max="7974" width="1.44140625" style="279" customWidth="1"/>
    <col min="7975" max="7975" width="8" style="279" customWidth="1"/>
    <col min="7976" max="7976" width="1.44140625" style="279" customWidth="1"/>
    <col min="7977" max="7977" width="17.77734375" style="279" customWidth="1"/>
    <col min="7978" max="7978" width="1.44140625" style="279" customWidth="1"/>
    <col min="7979" max="7979" width="17.77734375" style="279" customWidth="1"/>
    <col min="7980" max="7980" width="1.44140625" style="279" customWidth="1"/>
    <col min="7981" max="8189" width="8" style="279"/>
    <col min="8190" max="8190" width="1.44140625" style="279" customWidth="1"/>
    <col min="8191" max="8191" width="4.5546875" style="279" customWidth="1"/>
    <col min="8192" max="8192" width="9.21875" style="279" customWidth="1"/>
    <col min="8193" max="8193" width="14.109375" style="279" bestFit="1" customWidth="1"/>
    <col min="8194" max="8195" width="12.33203125" style="279" customWidth="1"/>
    <col min="8196" max="8196" width="13" style="279" bestFit="1" customWidth="1"/>
    <col min="8197" max="8197" width="14" style="279" customWidth="1"/>
    <col min="8198" max="8198" width="14.109375" style="279" bestFit="1" customWidth="1"/>
    <col min="8199" max="8200" width="12.33203125" style="279" customWidth="1"/>
    <col min="8201" max="8201" width="14.5546875" style="279" customWidth="1"/>
    <col min="8202" max="8202" width="14.44140625" style="279" customWidth="1"/>
    <col min="8203" max="8203" width="13.77734375" style="279" customWidth="1"/>
    <col min="8204" max="8206" width="13.109375" style="279" customWidth="1"/>
    <col min="8207" max="8207" width="14" style="279" customWidth="1"/>
    <col min="8208" max="8213" width="13.109375" style="279" customWidth="1"/>
    <col min="8214" max="8214" width="12.88671875" style="279" customWidth="1"/>
    <col min="8215" max="8215" width="10.5546875" style="279" customWidth="1"/>
    <col min="8216" max="8216" width="11.77734375" style="279" customWidth="1"/>
    <col min="8217" max="8217" width="13" style="279" bestFit="1" customWidth="1"/>
    <col min="8218" max="8218" width="11.77734375" style="279" customWidth="1"/>
    <col min="8219" max="8219" width="12.88671875" style="279" customWidth="1"/>
    <col min="8220" max="8220" width="13.109375" style="279" customWidth="1"/>
    <col min="8221" max="8221" width="11.33203125" style="279" customWidth="1"/>
    <col min="8222" max="8222" width="14.21875" style="279" customWidth="1"/>
    <col min="8223" max="8223" width="12.21875" style="279" customWidth="1"/>
    <col min="8224" max="8224" width="0" style="279" hidden="1" customWidth="1"/>
    <col min="8225" max="8225" width="11.88671875" style="279" customWidth="1"/>
    <col min="8226" max="8226" width="8.88671875" style="279" customWidth="1"/>
    <col min="8227" max="8227" width="12.33203125" style="279" customWidth="1"/>
    <col min="8228" max="8228" width="1.44140625" style="279" customWidth="1"/>
    <col min="8229" max="8229" width="10.77734375" style="279" customWidth="1"/>
    <col min="8230" max="8230" width="1.44140625" style="279" customWidth="1"/>
    <col min="8231" max="8231" width="8" style="279" customWidth="1"/>
    <col min="8232" max="8232" width="1.44140625" style="279" customWidth="1"/>
    <col min="8233" max="8233" width="17.77734375" style="279" customWidth="1"/>
    <col min="8234" max="8234" width="1.44140625" style="279" customWidth="1"/>
    <col min="8235" max="8235" width="17.77734375" style="279" customWidth="1"/>
    <col min="8236" max="8236" width="1.44140625" style="279" customWidth="1"/>
    <col min="8237" max="8445" width="8" style="279"/>
    <col min="8446" max="8446" width="1.44140625" style="279" customWidth="1"/>
    <col min="8447" max="8447" width="4.5546875" style="279" customWidth="1"/>
    <col min="8448" max="8448" width="9.21875" style="279" customWidth="1"/>
    <col min="8449" max="8449" width="14.109375" style="279" bestFit="1" customWidth="1"/>
    <col min="8450" max="8451" width="12.33203125" style="279" customWidth="1"/>
    <col min="8452" max="8452" width="13" style="279" bestFit="1" customWidth="1"/>
    <col min="8453" max="8453" width="14" style="279" customWidth="1"/>
    <col min="8454" max="8454" width="14.109375" style="279" bestFit="1" customWidth="1"/>
    <col min="8455" max="8456" width="12.33203125" style="279" customWidth="1"/>
    <col min="8457" max="8457" width="14.5546875" style="279" customWidth="1"/>
    <col min="8458" max="8458" width="14.44140625" style="279" customWidth="1"/>
    <col min="8459" max="8459" width="13.77734375" style="279" customWidth="1"/>
    <col min="8460" max="8462" width="13.109375" style="279" customWidth="1"/>
    <col min="8463" max="8463" width="14" style="279" customWidth="1"/>
    <col min="8464" max="8469" width="13.109375" style="279" customWidth="1"/>
    <col min="8470" max="8470" width="12.88671875" style="279" customWidth="1"/>
    <col min="8471" max="8471" width="10.5546875" style="279" customWidth="1"/>
    <col min="8472" max="8472" width="11.77734375" style="279" customWidth="1"/>
    <col min="8473" max="8473" width="13" style="279" bestFit="1" customWidth="1"/>
    <col min="8474" max="8474" width="11.77734375" style="279" customWidth="1"/>
    <col min="8475" max="8475" width="12.88671875" style="279" customWidth="1"/>
    <col min="8476" max="8476" width="13.109375" style="279" customWidth="1"/>
    <col min="8477" max="8477" width="11.33203125" style="279" customWidth="1"/>
    <col min="8478" max="8478" width="14.21875" style="279" customWidth="1"/>
    <col min="8479" max="8479" width="12.21875" style="279" customWidth="1"/>
    <col min="8480" max="8480" width="0" style="279" hidden="1" customWidth="1"/>
    <col min="8481" max="8481" width="11.88671875" style="279" customWidth="1"/>
    <col min="8482" max="8482" width="8.88671875" style="279" customWidth="1"/>
    <col min="8483" max="8483" width="12.33203125" style="279" customWidth="1"/>
    <col min="8484" max="8484" width="1.44140625" style="279" customWidth="1"/>
    <col min="8485" max="8485" width="10.77734375" style="279" customWidth="1"/>
    <col min="8486" max="8486" width="1.44140625" style="279" customWidth="1"/>
    <col min="8487" max="8487" width="8" style="279" customWidth="1"/>
    <col min="8488" max="8488" width="1.44140625" style="279" customWidth="1"/>
    <col min="8489" max="8489" width="17.77734375" style="279" customWidth="1"/>
    <col min="8490" max="8490" width="1.44140625" style="279" customWidth="1"/>
    <col min="8491" max="8491" width="17.77734375" style="279" customWidth="1"/>
    <col min="8492" max="8492" width="1.44140625" style="279" customWidth="1"/>
    <col min="8493" max="8701" width="8" style="279"/>
    <col min="8702" max="8702" width="1.44140625" style="279" customWidth="1"/>
    <col min="8703" max="8703" width="4.5546875" style="279" customWidth="1"/>
    <col min="8704" max="8704" width="9.21875" style="279" customWidth="1"/>
    <col min="8705" max="8705" width="14.109375" style="279" bestFit="1" customWidth="1"/>
    <col min="8706" max="8707" width="12.33203125" style="279" customWidth="1"/>
    <col min="8708" max="8708" width="13" style="279" bestFit="1" customWidth="1"/>
    <col min="8709" max="8709" width="14" style="279" customWidth="1"/>
    <col min="8710" max="8710" width="14.109375" style="279" bestFit="1" customWidth="1"/>
    <col min="8711" max="8712" width="12.33203125" style="279" customWidth="1"/>
    <col min="8713" max="8713" width="14.5546875" style="279" customWidth="1"/>
    <col min="8714" max="8714" width="14.44140625" style="279" customWidth="1"/>
    <col min="8715" max="8715" width="13.77734375" style="279" customWidth="1"/>
    <col min="8716" max="8718" width="13.109375" style="279" customWidth="1"/>
    <col min="8719" max="8719" width="14" style="279" customWidth="1"/>
    <col min="8720" max="8725" width="13.109375" style="279" customWidth="1"/>
    <col min="8726" max="8726" width="12.88671875" style="279" customWidth="1"/>
    <col min="8727" max="8727" width="10.5546875" style="279" customWidth="1"/>
    <col min="8728" max="8728" width="11.77734375" style="279" customWidth="1"/>
    <col min="8729" max="8729" width="13" style="279" bestFit="1" customWidth="1"/>
    <col min="8730" max="8730" width="11.77734375" style="279" customWidth="1"/>
    <col min="8731" max="8731" width="12.88671875" style="279" customWidth="1"/>
    <col min="8732" max="8732" width="13.109375" style="279" customWidth="1"/>
    <col min="8733" max="8733" width="11.33203125" style="279" customWidth="1"/>
    <col min="8734" max="8734" width="14.21875" style="279" customWidth="1"/>
    <col min="8735" max="8735" width="12.21875" style="279" customWidth="1"/>
    <col min="8736" max="8736" width="0" style="279" hidden="1" customWidth="1"/>
    <col min="8737" max="8737" width="11.88671875" style="279" customWidth="1"/>
    <col min="8738" max="8738" width="8.88671875" style="279" customWidth="1"/>
    <col min="8739" max="8739" width="12.33203125" style="279" customWidth="1"/>
    <col min="8740" max="8740" width="1.44140625" style="279" customWidth="1"/>
    <col min="8741" max="8741" width="10.77734375" style="279" customWidth="1"/>
    <col min="8742" max="8742" width="1.44140625" style="279" customWidth="1"/>
    <col min="8743" max="8743" width="8" style="279" customWidth="1"/>
    <col min="8744" max="8744" width="1.44140625" style="279" customWidth="1"/>
    <col min="8745" max="8745" width="17.77734375" style="279" customWidth="1"/>
    <col min="8746" max="8746" width="1.44140625" style="279" customWidth="1"/>
    <col min="8747" max="8747" width="17.77734375" style="279" customWidth="1"/>
    <col min="8748" max="8748" width="1.44140625" style="279" customWidth="1"/>
    <col min="8749" max="8957" width="8" style="279"/>
    <col min="8958" max="8958" width="1.44140625" style="279" customWidth="1"/>
    <col min="8959" max="8959" width="4.5546875" style="279" customWidth="1"/>
    <col min="8960" max="8960" width="9.21875" style="279" customWidth="1"/>
    <col min="8961" max="8961" width="14.109375" style="279" bestFit="1" customWidth="1"/>
    <col min="8962" max="8963" width="12.33203125" style="279" customWidth="1"/>
    <col min="8964" max="8964" width="13" style="279" bestFit="1" customWidth="1"/>
    <col min="8965" max="8965" width="14" style="279" customWidth="1"/>
    <col min="8966" max="8966" width="14.109375" style="279" bestFit="1" customWidth="1"/>
    <col min="8967" max="8968" width="12.33203125" style="279" customWidth="1"/>
    <col min="8969" max="8969" width="14.5546875" style="279" customWidth="1"/>
    <col min="8970" max="8970" width="14.44140625" style="279" customWidth="1"/>
    <col min="8971" max="8971" width="13.77734375" style="279" customWidth="1"/>
    <col min="8972" max="8974" width="13.109375" style="279" customWidth="1"/>
    <col min="8975" max="8975" width="14" style="279" customWidth="1"/>
    <col min="8976" max="8981" width="13.109375" style="279" customWidth="1"/>
    <col min="8982" max="8982" width="12.88671875" style="279" customWidth="1"/>
    <col min="8983" max="8983" width="10.5546875" style="279" customWidth="1"/>
    <col min="8984" max="8984" width="11.77734375" style="279" customWidth="1"/>
    <col min="8985" max="8985" width="13" style="279" bestFit="1" customWidth="1"/>
    <col min="8986" max="8986" width="11.77734375" style="279" customWidth="1"/>
    <col min="8987" max="8987" width="12.88671875" style="279" customWidth="1"/>
    <col min="8988" max="8988" width="13.109375" style="279" customWidth="1"/>
    <col min="8989" max="8989" width="11.33203125" style="279" customWidth="1"/>
    <col min="8990" max="8990" width="14.21875" style="279" customWidth="1"/>
    <col min="8991" max="8991" width="12.21875" style="279" customWidth="1"/>
    <col min="8992" max="8992" width="0" style="279" hidden="1" customWidth="1"/>
    <col min="8993" max="8993" width="11.88671875" style="279" customWidth="1"/>
    <col min="8994" max="8994" width="8.88671875" style="279" customWidth="1"/>
    <col min="8995" max="8995" width="12.33203125" style="279" customWidth="1"/>
    <col min="8996" max="8996" width="1.44140625" style="279" customWidth="1"/>
    <col min="8997" max="8997" width="10.77734375" style="279" customWidth="1"/>
    <col min="8998" max="8998" width="1.44140625" style="279" customWidth="1"/>
    <col min="8999" max="8999" width="8" style="279" customWidth="1"/>
    <col min="9000" max="9000" width="1.44140625" style="279" customWidth="1"/>
    <col min="9001" max="9001" width="17.77734375" style="279" customWidth="1"/>
    <col min="9002" max="9002" width="1.44140625" style="279" customWidth="1"/>
    <col min="9003" max="9003" width="17.77734375" style="279" customWidth="1"/>
    <col min="9004" max="9004" width="1.44140625" style="279" customWidth="1"/>
    <col min="9005" max="9213" width="8" style="279"/>
    <col min="9214" max="9214" width="1.44140625" style="279" customWidth="1"/>
    <col min="9215" max="9215" width="4.5546875" style="279" customWidth="1"/>
    <col min="9216" max="9216" width="9.21875" style="279" customWidth="1"/>
    <col min="9217" max="9217" width="14.109375" style="279" bestFit="1" customWidth="1"/>
    <col min="9218" max="9219" width="12.33203125" style="279" customWidth="1"/>
    <col min="9220" max="9220" width="13" style="279" bestFit="1" customWidth="1"/>
    <col min="9221" max="9221" width="14" style="279" customWidth="1"/>
    <col min="9222" max="9222" width="14.109375" style="279" bestFit="1" customWidth="1"/>
    <col min="9223" max="9224" width="12.33203125" style="279" customWidth="1"/>
    <col min="9225" max="9225" width="14.5546875" style="279" customWidth="1"/>
    <col min="9226" max="9226" width="14.44140625" style="279" customWidth="1"/>
    <col min="9227" max="9227" width="13.77734375" style="279" customWidth="1"/>
    <col min="9228" max="9230" width="13.109375" style="279" customWidth="1"/>
    <col min="9231" max="9231" width="14" style="279" customWidth="1"/>
    <col min="9232" max="9237" width="13.109375" style="279" customWidth="1"/>
    <col min="9238" max="9238" width="12.88671875" style="279" customWidth="1"/>
    <col min="9239" max="9239" width="10.5546875" style="279" customWidth="1"/>
    <col min="9240" max="9240" width="11.77734375" style="279" customWidth="1"/>
    <col min="9241" max="9241" width="13" style="279" bestFit="1" customWidth="1"/>
    <col min="9242" max="9242" width="11.77734375" style="279" customWidth="1"/>
    <col min="9243" max="9243" width="12.88671875" style="279" customWidth="1"/>
    <col min="9244" max="9244" width="13.109375" style="279" customWidth="1"/>
    <col min="9245" max="9245" width="11.33203125" style="279" customWidth="1"/>
    <col min="9246" max="9246" width="14.21875" style="279" customWidth="1"/>
    <col min="9247" max="9247" width="12.21875" style="279" customWidth="1"/>
    <col min="9248" max="9248" width="0" style="279" hidden="1" customWidth="1"/>
    <col min="9249" max="9249" width="11.88671875" style="279" customWidth="1"/>
    <col min="9250" max="9250" width="8.88671875" style="279" customWidth="1"/>
    <col min="9251" max="9251" width="12.33203125" style="279" customWidth="1"/>
    <col min="9252" max="9252" width="1.44140625" style="279" customWidth="1"/>
    <col min="9253" max="9253" width="10.77734375" style="279" customWidth="1"/>
    <col min="9254" max="9254" width="1.44140625" style="279" customWidth="1"/>
    <col min="9255" max="9255" width="8" style="279" customWidth="1"/>
    <col min="9256" max="9256" width="1.44140625" style="279" customWidth="1"/>
    <col min="9257" max="9257" width="17.77734375" style="279" customWidth="1"/>
    <col min="9258" max="9258" width="1.44140625" style="279" customWidth="1"/>
    <col min="9259" max="9259" width="17.77734375" style="279" customWidth="1"/>
    <col min="9260" max="9260" width="1.44140625" style="279" customWidth="1"/>
    <col min="9261" max="9469" width="8" style="279"/>
    <col min="9470" max="9470" width="1.44140625" style="279" customWidth="1"/>
    <col min="9471" max="9471" width="4.5546875" style="279" customWidth="1"/>
    <col min="9472" max="9472" width="9.21875" style="279" customWidth="1"/>
    <col min="9473" max="9473" width="14.109375" style="279" bestFit="1" customWidth="1"/>
    <col min="9474" max="9475" width="12.33203125" style="279" customWidth="1"/>
    <col min="9476" max="9476" width="13" style="279" bestFit="1" customWidth="1"/>
    <col min="9477" max="9477" width="14" style="279" customWidth="1"/>
    <col min="9478" max="9478" width="14.109375" style="279" bestFit="1" customWidth="1"/>
    <col min="9479" max="9480" width="12.33203125" style="279" customWidth="1"/>
    <col min="9481" max="9481" width="14.5546875" style="279" customWidth="1"/>
    <col min="9482" max="9482" width="14.44140625" style="279" customWidth="1"/>
    <col min="9483" max="9483" width="13.77734375" style="279" customWidth="1"/>
    <col min="9484" max="9486" width="13.109375" style="279" customWidth="1"/>
    <col min="9487" max="9487" width="14" style="279" customWidth="1"/>
    <col min="9488" max="9493" width="13.109375" style="279" customWidth="1"/>
    <col min="9494" max="9494" width="12.88671875" style="279" customWidth="1"/>
    <col min="9495" max="9495" width="10.5546875" style="279" customWidth="1"/>
    <col min="9496" max="9496" width="11.77734375" style="279" customWidth="1"/>
    <col min="9497" max="9497" width="13" style="279" bestFit="1" customWidth="1"/>
    <col min="9498" max="9498" width="11.77734375" style="279" customWidth="1"/>
    <col min="9499" max="9499" width="12.88671875" style="279" customWidth="1"/>
    <col min="9500" max="9500" width="13.109375" style="279" customWidth="1"/>
    <col min="9501" max="9501" width="11.33203125" style="279" customWidth="1"/>
    <col min="9502" max="9502" width="14.21875" style="279" customWidth="1"/>
    <col min="9503" max="9503" width="12.21875" style="279" customWidth="1"/>
    <col min="9504" max="9504" width="0" style="279" hidden="1" customWidth="1"/>
    <col min="9505" max="9505" width="11.88671875" style="279" customWidth="1"/>
    <col min="9506" max="9506" width="8.88671875" style="279" customWidth="1"/>
    <col min="9507" max="9507" width="12.33203125" style="279" customWidth="1"/>
    <col min="9508" max="9508" width="1.44140625" style="279" customWidth="1"/>
    <col min="9509" max="9509" width="10.77734375" style="279" customWidth="1"/>
    <col min="9510" max="9510" width="1.44140625" style="279" customWidth="1"/>
    <col min="9511" max="9511" width="8" style="279" customWidth="1"/>
    <col min="9512" max="9512" width="1.44140625" style="279" customWidth="1"/>
    <col min="9513" max="9513" width="17.77734375" style="279" customWidth="1"/>
    <col min="9514" max="9514" width="1.44140625" style="279" customWidth="1"/>
    <col min="9515" max="9515" width="17.77734375" style="279" customWidth="1"/>
    <col min="9516" max="9516" width="1.44140625" style="279" customWidth="1"/>
    <col min="9517" max="9725" width="8" style="279"/>
    <col min="9726" max="9726" width="1.44140625" style="279" customWidth="1"/>
    <col min="9727" max="9727" width="4.5546875" style="279" customWidth="1"/>
    <col min="9728" max="9728" width="9.21875" style="279" customWidth="1"/>
    <col min="9729" max="9729" width="14.109375" style="279" bestFit="1" customWidth="1"/>
    <col min="9730" max="9731" width="12.33203125" style="279" customWidth="1"/>
    <col min="9732" max="9732" width="13" style="279" bestFit="1" customWidth="1"/>
    <col min="9733" max="9733" width="14" style="279" customWidth="1"/>
    <col min="9734" max="9734" width="14.109375" style="279" bestFit="1" customWidth="1"/>
    <col min="9735" max="9736" width="12.33203125" style="279" customWidth="1"/>
    <col min="9737" max="9737" width="14.5546875" style="279" customWidth="1"/>
    <col min="9738" max="9738" width="14.44140625" style="279" customWidth="1"/>
    <col min="9739" max="9739" width="13.77734375" style="279" customWidth="1"/>
    <col min="9740" max="9742" width="13.109375" style="279" customWidth="1"/>
    <col min="9743" max="9743" width="14" style="279" customWidth="1"/>
    <col min="9744" max="9749" width="13.109375" style="279" customWidth="1"/>
    <col min="9750" max="9750" width="12.88671875" style="279" customWidth="1"/>
    <col min="9751" max="9751" width="10.5546875" style="279" customWidth="1"/>
    <col min="9752" max="9752" width="11.77734375" style="279" customWidth="1"/>
    <col min="9753" max="9753" width="13" style="279" bestFit="1" customWidth="1"/>
    <col min="9754" max="9754" width="11.77734375" style="279" customWidth="1"/>
    <col min="9755" max="9755" width="12.88671875" style="279" customWidth="1"/>
    <col min="9756" max="9756" width="13.109375" style="279" customWidth="1"/>
    <col min="9757" max="9757" width="11.33203125" style="279" customWidth="1"/>
    <col min="9758" max="9758" width="14.21875" style="279" customWidth="1"/>
    <col min="9759" max="9759" width="12.21875" style="279" customWidth="1"/>
    <col min="9760" max="9760" width="0" style="279" hidden="1" customWidth="1"/>
    <col min="9761" max="9761" width="11.88671875" style="279" customWidth="1"/>
    <col min="9762" max="9762" width="8.88671875" style="279" customWidth="1"/>
    <col min="9763" max="9763" width="12.33203125" style="279" customWidth="1"/>
    <col min="9764" max="9764" width="1.44140625" style="279" customWidth="1"/>
    <col min="9765" max="9765" width="10.77734375" style="279" customWidth="1"/>
    <col min="9766" max="9766" width="1.44140625" style="279" customWidth="1"/>
    <col min="9767" max="9767" width="8" style="279" customWidth="1"/>
    <col min="9768" max="9768" width="1.44140625" style="279" customWidth="1"/>
    <col min="9769" max="9769" width="17.77734375" style="279" customWidth="1"/>
    <col min="9770" max="9770" width="1.44140625" style="279" customWidth="1"/>
    <col min="9771" max="9771" width="17.77734375" style="279" customWidth="1"/>
    <col min="9772" max="9772" width="1.44140625" style="279" customWidth="1"/>
    <col min="9773" max="9981" width="8" style="279"/>
    <col min="9982" max="9982" width="1.44140625" style="279" customWidth="1"/>
    <col min="9983" max="9983" width="4.5546875" style="279" customWidth="1"/>
    <col min="9984" max="9984" width="9.21875" style="279" customWidth="1"/>
    <col min="9985" max="9985" width="14.109375" style="279" bestFit="1" customWidth="1"/>
    <col min="9986" max="9987" width="12.33203125" style="279" customWidth="1"/>
    <col min="9988" max="9988" width="13" style="279" bestFit="1" customWidth="1"/>
    <col min="9989" max="9989" width="14" style="279" customWidth="1"/>
    <col min="9990" max="9990" width="14.109375" style="279" bestFit="1" customWidth="1"/>
    <col min="9991" max="9992" width="12.33203125" style="279" customWidth="1"/>
    <col min="9993" max="9993" width="14.5546875" style="279" customWidth="1"/>
    <col min="9994" max="9994" width="14.44140625" style="279" customWidth="1"/>
    <col min="9995" max="9995" width="13.77734375" style="279" customWidth="1"/>
    <col min="9996" max="9998" width="13.109375" style="279" customWidth="1"/>
    <col min="9999" max="9999" width="14" style="279" customWidth="1"/>
    <col min="10000" max="10005" width="13.109375" style="279" customWidth="1"/>
    <col min="10006" max="10006" width="12.88671875" style="279" customWidth="1"/>
    <col min="10007" max="10007" width="10.5546875" style="279" customWidth="1"/>
    <col min="10008" max="10008" width="11.77734375" style="279" customWidth="1"/>
    <col min="10009" max="10009" width="13" style="279" bestFit="1" customWidth="1"/>
    <col min="10010" max="10010" width="11.77734375" style="279" customWidth="1"/>
    <col min="10011" max="10011" width="12.88671875" style="279" customWidth="1"/>
    <col min="10012" max="10012" width="13.109375" style="279" customWidth="1"/>
    <col min="10013" max="10013" width="11.33203125" style="279" customWidth="1"/>
    <col min="10014" max="10014" width="14.21875" style="279" customWidth="1"/>
    <col min="10015" max="10015" width="12.21875" style="279" customWidth="1"/>
    <col min="10016" max="10016" width="0" style="279" hidden="1" customWidth="1"/>
    <col min="10017" max="10017" width="11.88671875" style="279" customWidth="1"/>
    <col min="10018" max="10018" width="8.88671875" style="279" customWidth="1"/>
    <col min="10019" max="10019" width="12.33203125" style="279" customWidth="1"/>
    <col min="10020" max="10020" width="1.44140625" style="279" customWidth="1"/>
    <col min="10021" max="10021" width="10.77734375" style="279" customWidth="1"/>
    <col min="10022" max="10022" width="1.44140625" style="279" customWidth="1"/>
    <col min="10023" max="10023" width="8" style="279" customWidth="1"/>
    <col min="10024" max="10024" width="1.44140625" style="279" customWidth="1"/>
    <col min="10025" max="10025" width="17.77734375" style="279" customWidth="1"/>
    <col min="10026" max="10026" width="1.44140625" style="279" customWidth="1"/>
    <col min="10027" max="10027" width="17.77734375" style="279" customWidth="1"/>
    <col min="10028" max="10028" width="1.44140625" style="279" customWidth="1"/>
    <col min="10029" max="10237" width="8" style="279"/>
    <col min="10238" max="10238" width="1.44140625" style="279" customWidth="1"/>
    <col min="10239" max="10239" width="4.5546875" style="279" customWidth="1"/>
    <col min="10240" max="10240" width="9.21875" style="279" customWidth="1"/>
    <col min="10241" max="10241" width="14.109375" style="279" bestFit="1" customWidth="1"/>
    <col min="10242" max="10243" width="12.33203125" style="279" customWidth="1"/>
    <col min="10244" max="10244" width="13" style="279" bestFit="1" customWidth="1"/>
    <col min="10245" max="10245" width="14" style="279" customWidth="1"/>
    <col min="10246" max="10246" width="14.109375" style="279" bestFit="1" customWidth="1"/>
    <col min="10247" max="10248" width="12.33203125" style="279" customWidth="1"/>
    <col min="10249" max="10249" width="14.5546875" style="279" customWidth="1"/>
    <col min="10250" max="10250" width="14.44140625" style="279" customWidth="1"/>
    <col min="10251" max="10251" width="13.77734375" style="279" customWidth="1"/>
    <col min="10252" max="10254" width="13.109375" style="279" customWidth="1"/>
    <col min="10255" max="10255" width="14" style="279" customWidth="1"/>
    <col min="10256" max="10261" width="13.109375" style="279" customWidth="1"/>
    <col min="10262" max="10262" width="12.88671875" style="279" customWidth="1"/>
    <col min="10263" max="10263" width="10.5546875" style="279" customWidth="1"/>
    <col min="10264" max="10264" width="11.77734375" style="279" customWidth="1"/>
    <col min="10265" max="10265" width="13" style="279" bestFit="1" customWidth="1"/>
    <col min="10266" max="10266" width="11.77734375" style="279" customWidth="1"/>
    <col min="10267" max="10267" width="12.88671875" style="279" customWidth="1"/>
    <col min="10268" max="10268" width="13.109375" style="279" customWidth="1"/>
    <col min="10269" max="10269" width="11.33203125" style="279" customWidth="1"/>
    <col min="10270" max="10270" width="14.21875" style="279" customWidth="1"/>
    <col min="10271" max="10271" width="12.21875" style="279" customWidth="1"/>
    <col min="10272" max="10272" width="0" style="279" hidden="1" customWidth="1"/>
    <col min="10273" max="10273" width="11.88671875" style="279" customWidth="1"/>
    <col min="10274" max="10274" width="8.88671875" style="279" customWidth="1"/>
    <col min="10275" max="10275" width="12.33203125" style="279" customWidth="1"/>
    <col min="10276" max="10276" width="1.44140625" style="279" customWidth="1"/>
    <col min="10277" max="10277" width="10.77734375" style="279" customWidth="1"/>
    <col min="10278" max="10278" width="1.44140625" style="279" customWidth="1"/>
    <col min="10279" max="10279" width="8" style="279" customWidth="1"/>
    <col min="10280" max="10280" width="1.44140625" style="279" customWidth="1"/>
    <col min="10281" max="10281" width="17.77734375" style="279" customWidth="1"/>
    <col min="10282" max="10282" width="1.44140625" style="279" customWidth="1"/>
    <col min="10283" max="10283" width="17.77734375" style="279" customWidth="1"/>
    <col min="10284" max="10284" width="1.44140625" style="279" customWidth="1"/>
    <col min="10285" max="10493" width="8" style="279"/>
    <col min="10494" max="10494" width="1.44140625" style="279" customWidth="1"/>
    <col min="10495" max="10495" width="4.5546875" style="279" customWidth="1"/>
    <col min="10496" max="10496" width="9.21875" style="279" customWidth="1"/>
    <col min="10497" max="10497" width="14.109375" style="279" bestFit="1" customWidth="1"/>
    <col min="10498" max="10499" width="12.33203125" style="279" customWidth="1"/>
    <col min="10500" max="10500" width="13" style="279" bestFit="1" customWidth="1"/>
    <col min="10501" max="10501" width="14" style="279" customWidth="1"/>
    <col min="10502" max="10502" width="14.109375" style="279" bestFit="1" customWidth="1"/>
    <col min="10503" max="10504" width="12.33203125" style="279" customWidth="1"/>
    <col min="10505" max="10505" width="14.5546875" style="279" customWidth="1"/>
    <col min="10506" max="10506" width="14.44140625" style="279" customWidth="1"/>
    <col min="10507" max="10507" width="13.77734375" style="279" customWidth="1"/>
    <col min="10508" max="10510" width="13.109375" style="279" customWidth="1"/>
    <col min="10511" max="10511" width="14" style="279" customWidth="1"/>
    <col min="10512" max="10517" width="13.109375" style="279" customWidth="1"/>
    <col min="10518" max="10518" width="12.88671875" style="279" customWidth="1"/>
    <col min="10519" max="10519" width="10.5546875" style="279" customWidth="1"/>
    <col min="10520" max="10520" width="11.77734375" style="279" customWidth="1"/>
    <col min="10521" max="10521" width="13" style="279" bestFit="1" customWidth="1"/>
    <col min="10522" max="10522" width="11.77734375" style="279" customWidth="1"/>
    <col min="10523" max="10523" width="12.88671875" style="279" customWidth="1"/>
    <col min="10524" max="10524" width="13.109375" style="279" customWidth="1"/>
    <col min="10525" max="10525" width="11.33203125" style="279" customWidth="1"/>
    <col min="10526" max="10526" width="14.21875" style="279" customWidth="1"/>
    <col min="10527" max="10527" width="12.21875" style="279" customWidth="1"/>
    <col min="10528" max="10528" width="0" style="279" hidden="1" customWidth="1"/>
    <col min="10529" max="10529" width="11.88671875" style="279" customWidth="1"/>
    <col min="10530" max="10530" width="8.88671875" style="279" customWidth="1"/>
    <col min="10531" max="10531" width="12.33203125" style="279" customWidth="1"/>
    <col min="10532" max="10532" width="1.44140625" style="279" customWidth="1"/>
    <col min="10533" max="10533" width="10.77734375" style="279" customWidth="1"/>
    <col min="10534" max="10534" width="1.44140625" style="279" customWidth="1"/>
    <col min="10535" max="10535" width="8" style="279" customWidth="1"/>
    <col min="10536" max="10536" width="1.44140625" style="279" customWidth="1"/>
    <col min="10537" max="10537" width="17.77734375" style="279" customWidth="1"/>
    <col min="10538" max="10538" width="1.44140625" style="279" customWidth="1"/>
    <col min="10539" max="10539" width="17.77734375" style="279" customWidth="1"/>
    <col min="10540" max="10540" width="1.44140625" style="279" customWidth="1"/>
    <col min="10541" max="10749" width="8" style="279"/>
    <col min="10750" max="10750" width="1.44140625" style="279" customWidth="1"/>
    <col min="10751" max="10751" width="4.5546875" style="279" customWidth="1"/>
    <col min="10752" max="10752" width="9.21875" style="279" customWidth="1"/>
    <col min="10753" max="10753" width="14.109375" style="279" bestFit="1" customWidth="1"/>
    <col min="10754" max="10755" width="12.33203125" style="279" customWidth="1"/>
    <col min="10756" max="10756" width="13" style="279" bestFit="1" customWidth="1"/>
    <col min="10757" max="10757" width="14" style="279" customWidth="1"/>
    <col min="10758" max="10758" width="14.109375" style="279" bestFit="1" customWidth="1"/>
    <col min="10759" max="10760" width="12.33203125" style="279" customWidth="1"/>
    <col min="10761" max="10761" width="14.5546875" style="279" customWidth="1"/>
    <col min="10762" max="10762" width="14.44140625" style="279" customWidth="1"/>
    <col min="10763" max="10763" width="13.77734375" style="279" customWidth="1"/>
    <col min="10764" max="10766" width="13.109375" style="279" customWidth="1"/>
    <col min="10767" max="10767" width="14" style="279" customWidth="1"/>
    <col min="10768" max="10773" width="13.109375" style="279" customWidth="1"/>
    <col min="10774" max="10774" width="12.88671875" style="279" customWidth="1"/>
    <col min="10775" max="10775" width="10.5546875" style="279" customWidth="1"/>
    <col min="10776" max="10776" width="11.77734375" style="279" customWidth="1"/>
    <col min="10777" max="10777" width="13" style="279" bestFit="1" customWidth="1"/>
    <col min="10778" max="10778" width="11.77734375" style="279" customWidth="1"/>
    <col min="10779" max="10779" width="12.88671875" style="279" customWidth="1"/>
    <col min="10780" max="10780" width="13.109375" style="279" customWidth="1"/>
    <col min="10781" max="10781" width="11.33203125" style="279" customWidth="1"/>
    <col min="10782" max="10782" width="14.21875" style="279" customWidth="1"/>
    <col min="10783" max="10783" width="12.21875" style="279" customWidth="1"/>
    <col min="10784" max="10784" width="0" style="279" hidden="1" customWidth="1"/>
    <col min="10785" max="10785" width="11.88671875" style="279" customWidth="1"/>
    <col min="10786" max="10786" width="8.88671875" style="279" customWidth="1"/>
    <col min="10787" max="10787" width="12.33203125" style="279" customWidth="1"/>
    <col min="10788" max="10788" width="1.44140625" style="279" customWidth="1"/>
    <col min="10789" max="10789" width="10.77734375" style="279" customWidth="1"/>
    <col min="10790" max="10790" width="1.44140625" style="279" customWidth="1"/>
    <col min="10791" max="10791" width="8" style="279" customWidth="1"/>
    <col min="10792" max="10792" width="1.44140625" style="279" customWidth="1"/>
    <col min="10793" max="10793" width="17.77734375" style="279" customWidth="1"/>
    <col min="10794" max="10794" width="1.44140625" style="279" customWidth="1"/>
    <col min="10795" max="10795" width="17.77734375" style="279" customWidth="1"/>
    <col min="10796" max="10796" width="1.44140625" style="279" customWidth="1"/>
    <col min="10797" max="11005" width="8" style="279"/>
    <col min="11006" max="11006" width="1.44140625" style="279" customWidth="1"/>
    <col min="11007" max="11007" width="4.5546875" style="279" customWidth="1"/>
    <col min="11008" max="11008" width="9.21875" style="279" customWidth="1"/>
    <col min="11009" max="11009" width="14.109375" style="279" bestFit="1" customWidth="1"/>
    <col min="11010" max="11011" width="12.33203125" style="279" customWidth="1"/>
    <col min="11012" max="11012" width="13" style="279" bestFit="1" customWidth="1"/>
    <col min="11013" max="11013" width="14" style="279" customWidth="1"/>
    <col min="11014" max="11014" width="14.109375" style="279" bestFit="1" customWidth="1"/>
    <col min="11015" max="11016" width="12.33203125" style="279" customWidth="1"/>
    <col min="11017" max="11017" width="14.5546875" style="279" customWidth="1"/>
    <col min="11018" max="11018" width="14.44140625" style="279" customWidth="1"/>
    <col min="11019" max="11019" width="13.77734375" style="279" customWidth="1"/>
    <col min="11020" max="11022" width="13.109375" style="279" customWidth="1"/>
    <col min="11023" max="11023" width="14" style="279" customWidth="1"/>
    <col min="11024" max="11029" width="13.109375" style="279" customWidth="1"/>
    <col min="11030" max="11030" width="12.88671875" style="279" customWidth="1"/>
    <col min="11031" max="11031" width="10.5546875" style="279" customWidth="1"/>
    <col min="11032" max="11032" width="11.77734375" style="279" customWidth="1"/>
    <col min="11033" max="11033" width="13" style="279" bestFit="1" customWidth="1"/>
    <col min="11034" max="11034" width="11.77734375" style="279" customWidth="1"/>
    <col min="11035" max="11035" width="12.88671875" style="279" customWidth="1"/>
    <col min="11036" max="11036" width="13.109375" style="279" customWidth="1"/>
    <col min="11037" max="11037" width="11.33203125" style="279" customWidth="1"/>
    <col min="11038" max="11038" width="14.21875" style="279" customWidth="1"/>
    <col min="11039" max="11039" width="12.21875" style="279" customWidth="1"/>
    <col min="11040" max="11040" width="0" style="279" hidden="1" customWidth="1"/>
    <col min="11041" max="11041" width="11.88671875" style="279" customWidth="1"/>
    <col min="11042" max="11042" width="8.88671875" style="279" customWidth="1"/>
    <col min="11043" max="11043" width="12.33203125" style="279" customWidth="1"/>
    <col min="11044" max="11044" width="1.44140625" style="279" customWidth="1"/>
    <col min="11045" max="11045" width="10.77734375" style="279" customWidth="1"/>
    <col min="11046" max="11046" width="1.44140625" style="279" customWidth="1"/>
    <col min="11047" max="11047" width="8" style="279" customWidth="1"/>
    <col min="11048" max="11048" width="1.44140625" style="279" customWidth="1"/>
    <col min="11049" max="11049" width="17.77734375" style="279" customWidth="1"/>
    <col min="11050" max="11050" width="1.44140625" style="279" customWidth="1"/>
    <col min="11051" max="11051" width="17.77734375" style="279" customWidth="1"/>
    <col min="11052" max="11052" width="1.44140625" style="279" customWidth="1"/>
    <col min="11053" max="11261" width="8" style="279"/>
    <col min="11262" max="11262" width="1.44140625" style="279" customWidth="1"/>
    <col min="11263" max="11263" width="4.5546875" style="279" customWidth="1"/>
    <col min="11264" max="11264" width="9.21875" style="279" customWidth="1"/>
    <col min="11265" max="11265" width="14.109375" style="279" bestFit="1" customWidth="1"/>
    <col min="11266" max="11267" width="12.33203125" style="279" customWidth="1"/>
    <col min="11268" max="11268" width="13" style="279" bestFit="1" customWidth="1"/>
    <col min="11269" max="11269" width="14" style="279" customWidth="1"/>
    <col min="11270" max="11270" width="14.109375" style="279" bestFit="1" customWidth="1"/>
    <col min="11271" max="11272" width="12.33203125" style="279" customWidth="1"/>
    <col min="11273" max="11273" width="14.5546875" style="279" customWidth="1"/>
    <col min="11274" max="11274" width="14.44140625" style="279" customWidth="1"/>
    <col min="11275" max="11275" width="13.77734375" style="279" customWidth="1"/>
    <col min="11276" max="11278" width="13.109375" style="279" customWidth="1"/>
    <col min="11279" max="11279" width="14" style="279" customWidth="1"/>
    <col min="11280" max="11285" width="13.109375" style="279" customWidth="1"/>
    <col min="11286" max="11286" width="12.88671875" style="279" customWidth="1"/>
    <col min="11287" max="11287" width="10.5546875" style="279" customWidth="1"/>
    <col min="11288" max="11288" width="11.77734375" style="279" customWidth="1"/>
    <col min="11289" max="11289" width="13" style="279" bestFit="1" customWidth="1"/>
    <col min="11290" max="11290" width="11.77734375" style="279" customWidth="1"/>
    <col min="11291" max="11291" width="12.88671875" style="279" customWidth="1"/>
    <col min="11292" max="11292" width="13.109375" style="279" customWidth="1"/>
    <col min="11293" max="11293" width="11.33203125" style="279" customWidth="1"/>
    <col min="11294" max="11294" width="14.21875" style="279" customWidth="1"/>
    <col min="11295" max="11295" width="12.21875" style="279" customWidth="1"/>
    <col min="11296" max="11296" width="0" style="279" hidden="1" customWidth="1"/>
    <col min="11297" max="11297" width="11.88671875" style="279" customWidth="1"/>
    <col min="11298" max="11298" width="8.88671875" style="279" customWidth="1"/>
    <col min="11299" max="11299" width="12.33203125" style="279" customWidth="1"/>
    <col min="11300" max="11300" width="1.44140625" style="279" customWidth="1"/>
    <col min="11301" max="11301" width="10.77734375" style="279" customWidth="1"/>
    <col min="11302" max="11302" width="1.44140625" style="279" customWidth="1"/>
    <col min="11303" max="11303" width="8" style="279" customWidth="1"/>
    <col min="11304" max="11304" width="1.44140625" style="279" customWidth="1"/>
    <col min="11305" max="11305" width="17.77734375" style="279" customWidth="1"/>
    <col min="11306" max="11306" width="1.44140625" style="279" customWidth="1"/>
    <col min="11307" max="11307" width="17.77734375" style="279" customWidth="1"/>
    <col min="11308" max="11308" width="1.44140625" style="279" customWidth="1"/>
    <col min="11309" max="11517" width="8" style="279"/>
    <col min="11518" max="11518" width="1.44140625" style="279" customWidth="1"/>
    <col min="11519" max="11519" width="4.5546875" style="279" customWidth="1"/>
    <col min="11520" max="11520" width="9.21875" style="279" customWidth="1"/>
    <col min="11521" max="11521" width="14.109375" style="279" bestFit="1" customWidth="1"/>
    <col min="11522" max="11523" width="12.33203125" style="279" customWidth="1"/>
    <col min="11524" max="11524" width="13" style="279" bestFit="1" customWidth="1"/>
    <col min="11525" max="11525" width="14" style="279" customWidth="1"/>
    <col min="11526" max="11526" width="14.109375" style="279" bestFit="1" customWidth="1"/>
    <col min="11527" max="11528" width="12.33203125" style="279" customWidth="1"/>
    <col min="11529" max="11529" width="14.5546875" style="279" customWidth="1"/>
    <col min="11530" max="11530" width="14.44140625" style="279" customWidth="1"/>
    <col min="11531" max="11531" width="13.77734375" style="279" customWidth="1"/>
    <col min="11532" max="11534" width="13.109375" style="279" customWidth="1"/>
    <col min="11535" max="11535" width="14" style="279" customWidth="1"/>
    <col min="11536" max="11541" width="13.109375" style="279" customWidth="1"/>
    <col min="11542" max="11542" width="12.88671875" style="279" customWidth="1"/>
    <col min="11543" max="11543" width="10.5546875" style="279" customWidth="1"/>
    <col min="11544" max="11544" width="11.77734375" style="279" customWidth="1"/>
    <col min="11545" max="11545" width="13" style="279" bestFit="1" customWidth="1"/>
    <col min="11546" max="11546" width="11.77734375" style="279" customWidth="1"/>
    <col min="11547" max="11547" width="12.88671875" style="279" customWidth="1"/>
    <col min="11548" max="11548" width="13.109375" style="279" customWidth="1"/>
    <col min="11549" max="11549" width="11.33203125" style="279" customWidth="1"/>
    <col min="11550" max="11550" width="14.21875" style="279" customWidth="1"/>
    <col min="11551" max="11551" width="12.21875" style="279" customWidth="1"/>
    <col min="11552" max="11552" width="0" style="279" hidden="1" customWidth="1"/>
    <col min="11553" max="11553" width="11.88671875" style="279" customWidth="1"/>
    <col min="11554" max="11554" width="8.88671875" style="279" customWidth="1"/>
    <col min="11555" max="11555" width="12.33203125" style="279" customWidth="1"/>
    <col min="11556" max="11556" width="1.44140625" style="279" customWidth="1"/>
    <col min="11557" max="11557" width="10.77734375" style="279" customWidth="1"/>
    <col min="11558" max="11558" width="1.44140625" style="279" customWidth="1"/>
    <col min="11559" max="11559" width="8" style="279" customWidth="1"/>
    <col min="11560" max="11560" width="1.44140625" style="279" customWidth="1"/>
    <col min="11561" max="11561" width="17.77734375" style="279" customWidth="1"/>
    <col min="11562" max="11562" width="1.44140625" style="279" customWidth="1"/>
    <col min="11563" max="11563" width="17.77734375" style="279" customWidth="1"/>
    <col min="11564" max="11564" width="1.44140625" style="279" customWidth="1"/>
    <col min="11565" max="11773" width="8" style="279"/>
    <col min="11774" max="11774" width="1.44140625" style="279" customWidth="1"/>
    <col min="11775" max="11775" width="4.5546875" style="279" customWidth="1"/>
    <col min="11776" max="11776" width="9.21875" style="279" customWidth="1"/>
    <col min="11777" max="11777" width="14.109375" style="279" bestFit="1" customWidth="1"/>
    <col min="11778" max="11779" width="12.33203125" style="279" customWidth="1"/>
    <col min="11780" max="11780" width="13" style="279" bestFit="1" customWidth="1"/>
    <col min="11781" max="11781" width="14" style="279" customWidth="1"/>
    <col min="11782" max="11782" width="14.109375" style="279" bestFit="1" customWidth="1"/>
    <col min="11783" max="11784" width="12.33203125" style="279" customWidth="1"/>
    <col min="11785" max="11785" width="14.5546875" style="279" customWidth="1"/>
    <col min="11786" max="11786" width="14.44140625" style="279" customWidth="1"/>
    <col min="11787" max="11787" width="13.77734375" style="279" customWidth="1"/>
    <col min="11788" max="11790" width="13.109375" style="279" customWidth="1"/>
    <col min="11791" max="11791" width="14" style="279" customWidth="1"/>
    <col min="11792" max="11797" width="13.109375" style="279" customWidth="1"/>
    <col min="11798" max="11798" width="12.88671875" style="279" customWidth="1"/>
    <col min="11799" max="11799" width="10.5546875" style="279" customWidth="1"/>
    <col min="11800" max="11800" width="11.77734375" style="279" customWidth="1"/>
    <col min="11801" max="11801" width="13" style="279" bestFit="1" customWidth="1"/>
    <col min="11802" max="11802" width="11.77734375" style="279" customWidth="1"/>
    <col min="11803" max="11803" width="12.88671875" style="279" customWidth="1"/>
    <col min="11804" max="11804" width="13.109375" style="279" customWidth="1"/>
    <col min="11805" max="11805" width="11.33203125" style="279" customWidth="1"/>
    <col min="11806" max="11806" width="14.21875" style="279" customWidth="1"/>
    <col min="11807" max="11807" width="12.21875" style="279" customWidth="1"/>
    <col min="11808" max="11808" width="0" style="279" hidden="1" customWidth="1"/>
    <col min="11809" max="11809" width="11.88671875" style="279" customWidth="1"/>
    <col min="11810" max="11810" width="8.88671875" style="279" customWidth="1"/>
    <col min="11811" max="11811" width="12.33203125" style="279" customWidth="1"/>
    <col min="11812" max="11812" width="1.44140625" style="279" customWidth="1"/>
    <col min="11813" max="11813" width="10.77734375" style="279" customWidth="1"/>
    <col min="11814" max="11814" width="1.44140625" style="279" customWidth="1"/>
    <col min="11815" max="11815" width="8" style="279" customWidth="1"/>
    <col min="11816" max="11816" width="1.44140625" style="279" customWidth="1"/>
    <col min="11817" max="11817" width="17.77734375" style="279" customWidth="1"/>
    <col min="11818" max="11818" width="1.44140625" style="279" customWidth="1"/>
    <col min="11819" max="11819" width="17.77734375" style="279" customWidth="1"/>
    <col min="11820" max="11820" width="1.44140625" style="279" customWidth="1"/>
    <col min="11821" max="12029" width="8" style="279"/>
    <col min="12030" max="12030" width="1.44140625" style="279" customWidth="1"/>
    <col min="12031" max="12031" width="4.5546875" style="279" customWidth="1"/>
    <col min="12032" max="12032" width="9.21875" style="279" customWidth="1"/>
    <col min="12033" max="12033" width="14.109375" style="279" bestFit="1" customWidth="1"/>
    <col min="12034" max="12035" width="12.33203125" style="279" customWidth="1"/>
    <col min="12036" max="12036" width="13" style="279" bestFit="1" customWidth="1"/>
    <col min="12037" max="12037" width="14" style="279" customWidth="1"/>
    <col min="12038" max="12038" width="14.109375" style="279" bestFit="1" customWidth="1"/>
    <col min="12039" max="12040" width="12.33203125" style="279" customWidth="1"/>
    <col min="12041" max="12041" width="14.5546875" style="279" customWidth="1"/>
    <col min="12042" max="12042" width="14.44140625" style="279" customWidth="1"/>
    <col min="12043" max="12043" width="13.77734375" style="279" customWidth="1"/>
    <col min="12044" max="12046" width="13.109375" style="279" customWidth="1"/>
    <col min="12047" max="12047" width="14" style="279" customWidth="1"/>
    <col min="12048" max="12053" width="13.109375" style="279" customWidth="1"/>
    <col min="12054" max="12054" width="12.88671875" style="279" customWidth="1"/>
    <col min="12055" max="12055" width="10.5546875" style="279" customWidth="1"/>
    <col min="12056" max="12056" width="11.77734375" style="279" customWidth="1"/>
    <col min="12057" max="12057" width="13" style="279" bestFit="1" customWidth="1"/>
    <col min="12058" max="12058" width="11.77734375" style="279" customWidth="1"/>
    <col min="12059" max="12059" width="12.88671875" style="279" customWidth="1"/>
    <col min="12060" max="12060" width="13.109375" style="279" customWidth="1"/>
    <col min="12061" max="12061" width="11.33203125" style="279" customWidth="1"/>
    <col min="12062" max="12062" width="14.21875" style="279" customWidth="1"/>
    <col min="12063" max="12063" width="12.21875" style="279" customWidth="1"/>
    <col min="12064" max="12064" width="0" style="279" hidden="1" customWidth="1"/>
    <col min="12065" max="12065" width="11.88671875" style="279" customWidth="1"/>
    <col min="12066" max="12066" width="8.88671875" style="279" customWidth="1"/>
    <col min="12067" max="12067" width="12.33203125" style="279" customWidth="1"/>
    <col min="12068" max="12068" width="1.44140625" style="279" customWidth="1"/>
    <col min="12069" max="12069" width="10.77734375" style="279" customWidth="1"/>
    <col min="12070" max="12070" width="1.44140625" style="279" customWidth="1"/>
    <col min="12071" max="12071" width="8" style="279" customWidth="1"/>
    <col min="12072" max="12072" width="1.44140625" style="279" customWidth="1"/>
    <col min="12073" max="12073" width="17.77734375" style="279" customWidth="1"/>
    <col min="12074" max="12074" width="1.44140625" style="279" customWidth="1"/>
    <col min="12075" max="12075" width="17.77734375" style="279" customWidth="1"/>
    <col min="12076" max="12076" width="1.44140625" style="279" customWidth="1"/>
    <col min="12077" max="12285" width="8" style="279"/>
    <col min="12286" max="12286" width="1.44140625" style="279" customWidth="1"/>
    <col min="12287" max="12287" width="4.5546875" style="279" customWidth="1"/>
    <col min="12288" max="12288" width="9.21875" style="279" customWidth="1"/>
    <col min="12289" max="12289" width="14.109375" style="279" bestFit="1" customWidth="1"/>
    <col min="12290" max="12291" width="12.33203125" style="279" customWidth="1"/>
    <col min="12292" max="12292" width="13" style="279" bestFit="1" customWidth="1"/>
    <col min="12293" max="12293" width="14" style="279" customWidth="1"/>
    <col min="12294" max="12294" width="14.109375" style="279" bestFit="1" customWidth="1"/>
    <col min="12295" max="12296" width="12.33203125" style="279" customWidth="1"/>
    <col min="12297" max="12297" width="14.5546875" style="279" customWidth="1"/>
    <col min="12298" max="12298" width="14.44140625" style="279" customWidth="1"/>
    <col min="12299" max="12299" width="13.77734375" style="279" customWidth="1"/>
    <col min="12300" max="12302" width="13.109375" style="279" customWidth="1"/>
    <col min="12303" max="12303" width="14" style="279" customWidth="1"/>
    <col min="12304" max="12309" width="13.109375" style="279" customWidth="1"/>
    <col min="12310" max="12310" width="12.88671875" style="279" customWidth="1"/>
    <col min="12311" max="12311" width="10.5546875" style="279" customWidth="1"/>
    <col min="12312" max="12312" width="11.77734375" style="279" customWidth="1"/>
    <col min="12313" max="12313" width="13" style="279" bestFit="1" customWidth="1"/>
    <col min="12314" max="12314" width="11.77734375" style="279" customWidth="1"/>
    <col min="12315" max="12315" width="12.88671875" style="279" customWidth="1"/>
    <col min="12316" max="12316" width="13.109375" style="279" customWidth="1"/>
    <col min="12317" max="12317" width="11.33203125" style="279" customWidth="1"/>
    <col min="12318" max="12318" width="14.21875" style="279" customWidth="1"/>
    <col min="12319" max="12319" width="12.21875" style="279" customWidth="1"/>
    <col min="12320" max="12320" width="0" style="279" hidden="1" customWidth="1"/>
    <col min="12321" max="12321" width="11.88671875" style="279" customWidth="1"/>
    <col min="12322" max="12322" width="8.88671875" style="279" customWidth="1"/>
    <col min="12323" max="12323" width="12.33203125" style="279" customWidth="1"/>
    <col min="12324" max="12324" width="1.44140625" style="279" customWidth="1"/>
    <col min="12325" max="12325" width="10.77734375" style="279" customWidth="1"/>
    <col min="12326" max="12326" width="1.44140625" style="279" customWidth="1"/>
    <col min="12327" max="12327" width="8" style="279" customWidth="1"/>
    <col min="12328" max="12328" width="1.44140625" style="279" customWidth="1"/>
    <col min="12329" max="12329" width="17.77734375" style="279" customWidth="1"/>
    <col min="12330" max="12330" width="1.44140625" style="279" customWidth="1"/>
    <col min="12331" max="12331" width="17.77734375" style="279" customWidth="1"/>
    <col min="12332" max="12332" width="1.44140625" style="279" customWidth="1"/>
    <col min="12333" max="12541" width="8" style="279"/>
    <col min="12542" max="12542" width="1.44140625" style="279" customWidth="1"/>
    <col min="12543" max="12543" width="4.5546875" style="279" customWidth="1"/>
    <col min="12544" max="12544" width="9.21875" style="279" customWidth="1"/>
    <col min="12545" max="12545" width="14.109375" style="279" bestFit="1" customWidth="1"/>
    <col min="12546" max="12547" width="12.33203125" style="279" customWidth="1"/>
    <col min="12548" max="12548" width="13" style="279" bestFit="1" customWidth="1"/>
    <col min="12549" max="12549" width="14" style="279" customWidth="1"/>
    <col min="12550" max="12550" width="14.109375" style="279" bestFit="1" customWidth="1"/>
    <col min="12551" max="12552" width="12.33203125" style="279" customWidth="1"/>
    <col min="12553" max="12553" width="14.5546875" style="279" customWidth="1"/>
    <col min="12554" max="12554" width="14.44140625" style="279" customWidth="1"/>
    <col min="12555" max="12555" width="13.77734375" style="279" customWidth="1"/>
    <col min="12556" max="12558" width="13.109375" style="279" customWidth="1"/>
    <col min="12559" max="12559" width="14" style="279" customWidth="1"/>
    <col min="12560" max="12565" width="13.109375" style="279" customWidth="1"/>
    <col min="12566" max="12566" width="12.88671875" style="279" customWidth="1"/>
    <col min="12567" max="12567" width="10.5546875" style="279" customWidth="1"/>
    <col min="12568" max="12568" width="11.77734375" style="279" customWidth="1"/>
    <col min="12569" max="12569" width="13" style="279" bestFit="1" customWidth="1"/>
    <col min="12570" max="12570" width="11.77734375" style="279" customWidth="1"/>
    <col min="12571" max="12571" width="12.88671875" style="279" customWidth="1"/>
    <col min="12572" max="12572" width="13.109375" style="279" customWidth="1"/>
    <col min="12573" max="12573" width="11.33203125" style="279" customWidth="1"/>
    <col min="12574" max="12574" width="14.21875" style="279" customWidth="1"/>
    <col min="12575" max="12575" width="12.21875" style="279" customWidth="1"/>
    <col min="12576" max="12576" width="0" style="279" hidden="1" customWidth="1"/>
    <col min="12577" max="12577" width="11.88671875" style="279" customWidth="1"/>
    <col min="12578" max="12578" width="8.88671875" style="279" customWidth="1"/>
    <col min="12579" max="12579" width="12.33203125" style="279" customWidth="1"/>
    <col min="12580" max="12580" width="1.44140625" style="279" customWidth="1"/>
    <col min="12581" max="12581" width="10.77734375" style="279" customWidth="1"/>
    <col min="12582" max="12582" width="1.44140625" style="279" customWidth="1"/>
    <col min="12583" max="12583" width="8" style="279" customWidth="1"/>
    <col min="12584" max="12584" width="1.44140625" style="279" customWidth="1"/>
    <col min="12585" max="12585" width="17.77734375" style="279" customWidth="1"/>
    <col min="12586" max="12586" width="1.44140625" style="279" customWidth="1"/>
    <col min="12587" max="12587" width="17.77734375" style="279" customWidth="1"/>
    <col min="12588" max="12588" width="1.44140625" style="279" customWidth="1"/>
    <col min="12589" max="12797" width="8" style="279"/>
    <col min="12798" max="12798" width="1.44140625" style="279" customWidth="1"/>
    <col min="12799" max="12799" width="4.5546875" style="279" customWidth="1"/>
    <col min="12800" max="12800" width="9.21875" style="279" customWidth="1"/>
    <col min="12801" max="12801" width="14.109375" style="279" bestFit="1" customWidth="1"/>
    <col min="12802" max="12803" width="12.33203125" style="279" customWidth="1"/>
    <col min="12804" max="12804" width="13" style="279" bestFit="1" customWidth="1"/>
    <col min="12805" max="12805" width="14" style="279" customWidth="1"/>
    <col min="12806" max="12806" width="14.109375" style="279" bestFit="1" customWidth="1"/>
    <col min="12807" max="12808" width="12.33203125" style="279" customWidth="1"/>
    <col min="12809" max="12809" width="14.5546875" style="279" customWidth="1"/>
    <col min="12810" max="12810" width="14.44140625" style="279" customWidth="1"/>
    <col min="12811" max="12811" width="13.77734375" style="279" customWidth="1"/>
    <col min="12812" max="12814" width="13.109375" style="279" customWidth="1"/>
    <col min="12815" max="12815" width="14" style="279" customWidth="1"/>
    <col min="12816" max="12821" width="13.109375" style="279" customWidth="1"/>
    <col min="12822" max="12822" width="12.88671875" style="279" customWidth="1"/>
    <col min="12823" max="12823" width="10.5546875" style="279" customWidth="1"/>
    <col min="12824" max="12824" width="11.77734375" style="279" customWidth="1"/>
    <col min="12825" max="12825" width="13" style="279" bestFit="1" customWidth="1"/>
    <col min="12826" max="12826" width="11.77734375" style="279" customWidth="1"/>
    <col min="12827" max="12827" width="12.88671875" style="279" customWidth="1"/>
    <col min="12828" max="12828" width="13.109375" style="279" customWidth="1"/>
    <col min="12829" max="12829" width="11.33203125" style="279" customWidth="1"/>
    <col min="12830" max="12830" width="14.21875" style="279" customWidth="1"/>
    <col min="12831" max="12831" width="12.21875" style="279" customWidth="1"/>
    <col min="12832" max="12832" width="0" style="279" hidden="1" customWidth="1"/>
    <col min="12833" max="12833" width="11.88671875" style="279" customWidth="1"/>
    <col min="12834" max="12834" width="8.88671875" style="279" customWidth="1"/>
    <col min="12835" max="12835" width="12.33203125" style="279" customWidth="1"/>
    <col min="12836" max="12836" width="1.44140625" style="279" customWidth="1"/>
    <col min="12837" max="12837" width="10.77734375" style="279" customWidth="1"/>
    <col min="12838" max="12838" width="1.44140625" style="279" customWidth="1"/>
    <col min="12839" max="12839" width="8" style="279" customWidth="1"/>
    <col min="12840" max="12840" width="1.44140625" style="279" customWidth="1"/>
    <col min="12841" max="12841" width="17.77734375" style="279" customWidth="1"/>
    <col min="12842" max="12842" width="1.44140625" style="279" customWidth="1"/>
    <col min="12843" max="12843" width="17.77734375" style="279" customWidth="1"/>
    <col min="12844" max="12844" width="1.44140625" style="279" customWidth="1"/>
    <col min="12845" max="13053" width="8" style="279"/>
    <col min="13054" max="13054" width="1.44140625" style="279" customWidth="1"/>
    <col min="13055" max="13055" width="4.5546875" style="279" customWidth="1"/>
    <col min="13056" max="13056" width="9.21875" style="279" customWidth="1"/>
    <col min="13057" max="13057" width="14.109375" style="279" bestFit="1" customWidth="1"/>
    <col min="13058" max="13059" width="12.33203125" style="279" customWidth="1"/>
    <col min="13060" max="13060" width="13" style="279" bestFit="1" customWidth="1"/>
    <col min="13061" max="13061" width="14" style="279" customWidth="1"/>
    <col min="13062" max="13062" width="14.109375" style="279" bestFit="1" customWidth="1"/>
    <col min="13063" max="13064" width="12.33203125" style="279" customWidth="1"/>
    <col min="13065" max="13065" width="14.5546875" style="279" customWidth="1"/>
    <col min="13066" max="13066" width="14.44140625" style="279" customWidth="1"/>
    <col min="13067" max="13067" width="13.77734375" style="279" customWidth="1"/>
    <col min="13068" max="13070" width="13.109375" style="279" customWidth="1"/>
    <col min="13071" max="13071" width="14" style="279" customWidth="1"/>
    <col min="13072" max="13077" width="13.109375" style="279" customWidth="1"/>
    <col min="13078" max="13078" width="12.88671875" style="279" customWidth="1"/>
    <col min="13079" max="13079" width="10.5546875" style="279" customWidth="1"/>
    <col min="13080" max="13080" width="11.77734375" style="279" customWidth="1"/>
    <col min="13081" max="13081" width="13" style="279" bestFit="1" customWidth="1"/>
    <col min="13082" max="13082" width="11.77734375" style="279" customWidth="1"/>
    <col min="13083" max="13083" width="12.88671875" style="279" customWidth="1"/>
    <col min="13084" max="13084" width="13.109375" style="279" customWidth="1"/>
    <col min="13085" max="13085" width="11.33203125" style="279" customWidth="1"/>
    <col min="13086" max="13086" width="14.21875" style="279" customWidth="1"/>
    <col min="13087" max="13087" width="12.21875" style="279" customWidth="1"/>
    <col min="13088" max="13088" width="0" style="279" hidden="1" customWidth="1"/>
    <col min="13089" max="13089" width="11.88671875" style="279" customWidth="1"/>
    <col min="13090" max="13090" width="8.88671875" style="279" customWidth="1"/>
    <col min="13091" max="13091" width="12.33203125" style="279" customWidth="1"/>
    <col min="13092" max="13092" width="1.44140625" style="279" customWidth="1"/>
    <col min="13093" max="13093" width="10.77734375" style="279" customWidth="1"/>
    <col min="13094" max="13094" width="1.44140625" style="279" customWidth="1"/>
    <col min="13095" max="13095" width="8" style="279" customWidth="1"/>
    <col min="13096" max="13096" width="1.44140625" style="279" customWidth="1"/>
    <col min="13097" max="13097" width="17.77734375" style="279" customWidth="1"/>
    <col min="13098" max="13098" width="1.44140625" style="279" customWidth="1"/>
    <col min="13099" max="13099" width="17.77734375" style="279" customWidth="1"/>
    <col min="13100" max="13100" width="1.44140625" style="279" customWidth="1"/>
    <col min="13101" max="13309" width="8" style="279"/>
    <col min="13310" max="13310" width="1.44140625" style="279" customWidth="1"/>
    <col min="13311" max="13311" width="4.5546875" style="279" customWidth="1"/>
    <col min="13312" max="13312" width="9.21875" style="279" customWidth="1"/>
    <col min="13313" max="13313" width="14.109375" style="279" bestFit="1" customWidth="1"/>
    <col min="13314" max="13315" width="12.33203125" style="279" customWidth="1"/>
    <col min="13316" max="13316" width="13" style="279" bestFit="1" customWidth="1"/>
    <col min="13317" max="13317" width="14" style="279" customWidth="1"/>
    <col min="13318" max="13318" width="14.109375" style="279" bestFit="1" customWidth="1"/>
    <col min="13319" max="13320" width="12.33203125" style="279" customWidth="1"/>
    <col min="13321" max="13321" width="14.5546875" style="279" customWidth="1"/>
    <col min="13322" max="13322" width="14.44140625" style="279" customWidth="1"/>
    <col min="13323" max="13323" width="13.77734375" style="279" customWidth="1"/>
    <col min="13324" max="13326" width="13.109375" style="279" customWidth="1"/>
    <col min="13327" max="13327" width="14" style="279" customWidth="1"/>
    <col min="13328" max="13333" width="13.109375" style="279" customWidth="1"/>
    <col min="13334" max="13334" width="12.88671875" style="279" customWidth="1"/>
    <col min="13335" max="13335" width="10.5546875" style="279" customWidth="1"/>
    <col min="13336" max="13336" width="11.77734375" style="279" customWidth="1"/>
    <col min="13337" max="13337" width="13" style="279" bestFit="1" customWidth="1"/>
    <col min="13338" max="13338" width="11.77734375" style="279" customWidth="1"/>
    <col min="13339" max="13339" width="12.88671875" style="279" customWidth="1"/>
    <col min="13340" max="13340" width="13.109375" style="279" customWidth="1"/>
    <col min="13341" max="13341" width="11.33203125" style="279" customWidth="1"/>
    <col min="13342" max="13342" width="14.21875" style="279" customWidth="1"/>
    <col min="13343" max="13343" width="12.21875" style="279" customWidth="1"/>
    <col min="13344" max="13344" width="0" style="279" hidden="1" customWidth="1"/>
    <col min="13345" max="13345" width="11.88671875" style="279" customWidth="1"/>
    <col min="13346" max="13346" width="8.88671875" style="279" customWidth="1"/>
    <col min="13347" max="13347" width="12.33203125" style="279" customWidth="1"/>
    <col min="13348" max="13348" width="1.44140625" style="279" customWidth="1"/>
    <col min="13349" max="13349" width="10.77734375" style="279" customWidth="1"/>
    <col min="13350" max="13350" width="1.44140625" style="279" customWidth="1"/>
    <col min="13351" max="13351" width="8" style="279" customWidth="1"/>
    <col min="13352" max="13352" width="1.44140625" style="279" customWidth="1"/>
    <col min="13353" max="13353" width="17.77734375" style="279" customWidth="1"/>
    <col min="13354" max="13354" width="1.44140625" style="279" customWidth="1"/>
    <col min="13355" max="13355" width="17.77734375" style="279" customWidth="1"/>
    <col min="13356" max="13356" width="1.44140625" style="279" customWidth="1"/>
    <col min="13357" max="13565" width="8" style="279"/>
    <col min="13566" max="13566" width="1.44140625" style="279" customWidth="1"/>
    <col min="13567" max="13567" width="4.5546875" style="279" customWidth="1"/>
    <col min="13568" max="13568" width="9.21875" style="279" customWidth="1"/>
    <col min="13569" max="13569" width="14.109375" style="279" bestFit="1" customWidth="1"/>
    <col min="13570" max="13571" width="12.33203125" style="279" customWidth="1"/>
    <col min="13572" max="13572" width="13" style="279" bestFit="1" customWidth="1"/>
    <col min="13573" max="13573" width="14" style="279" customWidth="1"/>
    <col min="13574" max="13574" width="14.109375" style="279" bestFit="1" customWidth="1"/>
    <col min="13575" max="13576" width="12.33203125" style="279" customWidth="1"/>
    <col min="13577" max="13577" width="14.5546875" style="279" customWidth="1"/>
    <col min="13578" max="13578" width="14.44140625" style="279" customWidth="1"/>
    <col min="13579" max="13579" width="13.77734375" style="279" customWidth="1"/>
    <col min="13580" max="13582" width="13.109375" style="279" customWidth="1"/>
    <col min="13583" max="13583" width="14" style="279" customWidth="1"/>
    <col min="13584" max="13589" width="13.109375" style="279" customWidth="1"/>
    <col min="13590" max="13590" width="12.88671875" style="279" customWidth="1"/>
    <col min="13591" max="13591" width="10.5546875" style="279" customWidth="1"/>
    <col min="13592" max="13592" width="11.77734375" style="279" customWidth="1"/>
    <col min="13593" max="13593" width="13" style="279" bestFit="1" customWidth="1"/>
    <col min="13594" max="13594" width="11.77734375" style="279" customWidth="1"/>
    <col min="13595" max="13595" width="12.88671875" style="279" customWidth="1"/>
    <col min="13596" max="13596" width="13.109375" style="279" customWidth="1"/>
    <col min="13597" max="13597" width="11.33203125" style="279" customWidth="1"/>
    <col min="13598" max="13598" width="14.21875" style="279" customWidth="1"/>
    <col min="13599" max="13599" width="12.21875" style="279" customWidth="1"/>
    <col min="13600" max="13600" width="0" style="279" hidden="1" customWidth="1"/>
    <col min="13601" max="13601" width="11.88671875" style="279" customWidth="1"/>
    <col min="13602" max="13602" width="8.88671875" style="279" customWidth="1"/>
    <col min="13603" max="13603" width="12.33203125" style="279" customWidth="1"/>
    <col min="13604" max="13604" width="1.44140625" style="279" customWidth="1"/>
    <col min="13605" max="13605" width="10.77734375" style="279" customWidth="1"/>
    <col min="13606" max="13606" width="1.44140625" style="279" customWidth="1"/>
    <col min="13607" max="13607" width="8" style="279" customWidth="1"/>
    <col min="13608" max="13608" width="1.44140625" style="279" customWidth="1"/>
    <col min="13609" max="13609" width="17.77734375" style="279" customWidth="1"/>
    <col min="13610" max="13610" width="1.44140625" style="279" customWidth="1"/>
    <col min="13611" max="13611" width="17.77734375" style="279" customWidth="1"/>
    <col min="13612" max="13612" width="1.44140625" style="279" customWidth="1"/>
    <col min="13613" max="13821" width="8" style="279"/>
    <col min="13822" max="13822" width="1.44140625" style="279" customWidth="1"/>
    <col min="13823" max="13823" width="4.5546875" style="279" customWidth="1"/>
    <col min="13824" max="13824" width="9.21875" style="279" customWidth="1"/>
    <col min="13825" max="13825" width="14.109375" style="279" bestFit="1" customWidth="1"/>
    <col min="13826" max="13827" width="12.33203125" style="279" customWidth="1"/>
    <col min="13828" max="13828" width="13" style="279" bestFit="1" customWidth="1"/>
    <col min="13829" max="13829" width="14" style="279" customWidth="1"/>
    <col min="13830" max="13830" width="14.109375" style="279" bestFit="1" customWidth="1"/>
    <col min="13831" max="13832" width="12.33203125" style="279" customWidth="1"/>
    <col min="13833" max="13833" width="14.5546875" style="279" customWidth="1"/>
    <col min="13834" max="13834" width="14.44140625" style="279" customWidth="1"/>
    <col min="13835" max="13835" width="13.77734375" style="279" customWidth="1"/>
    <col min="13836" max="13838" width="13.109375" style="279" customWidth="1"/>
    <col min="13839" max="13839" width="14" style="279" customWidth="1"/>
    <col min="13840" max="13845" width="13.109375" style="279" customWidth="1"/>
    <col min="13846" max="13846" width="12.88671875" style="279" customWidth="1"/>
    <col min="13847" max="13847" width="10.5546875" style="279" customWidth="1"/>
    <col min="13848" max="13848" width="11.77734375" style="279" customWidth="1"/>
    <col min="13849" max="13849" width="13" style="279" bestFit="1" customWidth="1"/>
    <col min="13850" max="13850" width="11.77734375" style="279" customWidth="1"/>
    <col min="13851" max="13851" width="12.88671875" style="279" customWidth="1"/>
    <col min="13852" max="13852" width="13.109375" style="279" customWidth="1"/>
    <col min="13853" max="13853" width="11.33203125" style="279" customWidth="1"/>
    <col min="13854" max="13854" width="14.21875" style="279" customWidth="1"/>
    <col min="13855" max="13855" width="12.21875" style="279" customWidth="1"/>
    <col min="13856" max="13856" width="0" style="279" hidden="1" customWidth="1"/>
    <col min="13857" max="13857" width="11.88671875" style="279" customWidth="1"/>
    <col min="13858" max="13858" width="8.88671875" style="279" customWidth="1"/>
    <col min="13859" max="13859" width="12.33203125" style="279" customWidth="1"/>
    <col min="13860" max="13860" width="1.44140625" style="279" customWidth="1"/>
    <col min="13861" max="13861" width="10.77734375" style="279" customWidth="1"/>
    <col min="13862" max="13862" width="1.44140625" style="279" customWidth="1"/>
    <col min="13863" max="13863" width="8" style="279" customWidth="1"/>
    <col min="13864" max="13864" width="1.44140625" style="279" customWidth="1"/>
    <col min="13865" max="13865" width="17.77734375" style="279" customWidth="1"/>
    <col min="13866" max="13866" width="1.44140625" style="279" customWidth="1"/>
    <col min="13867" max="13867" width="17.77734375" style="279" customWidth="1"/>
    <col min="13868" max="13868" width="1.44140625" style="279" customWidth="1"/>
    <col min="13869" max="14077" width="8" style="279"/>
    <col min="14078" max="14078" width="1.44140625" style="279" customWidth="1"/>
    <col min="14079" max="14079" width="4.5546875" style="279" customWidth="1"/>
    <col min="14080" max="14080" width="9.21875" style="279" customWidth="1"/>
    <col min="14081" max="14081" width="14.109375" style="279" bestFit="1" customWidth="1"/>
    <col min="14082" max="14083" width="12.33203125" style="279" customWidth="1"/>
    <col min="14084" max="14084" width="13" style="279" bestFit="1" customWidth="1"/>
    <col min="14085" max="14085" width="14" style="279" customWidth="1"/>
    <col min="14086" max="14086" width="14.109375" style="279" bestFit="1" customWidth="1"/>
    <col min="14087" max="14088" width="12.33203125" style="279" customWidth="1"/>
    <col min="14089" max="14089" width="14.5546875" style="279" customWidth="1"/>
    <col min="14090" max="14090" width="14.44140625" style="279" customWidth="1"/>
    <col min="14091" max="14091" width="13.77734375" style="279" customWidth="1"/>
    <col min="14092" max="14094" width="13.109375" style="279" customWidth="1"/>
    <col min="14095" max="14095" width="14" style="279" customWidth="1"/>
    <col min="14096" max="14101" width="13.109375" style="279" customWidth="1"/>
    <col min="14102" max="14102" width="12.88671875" style="279" customWidth="1"/>
    <col min="14103" max="14103" width="10.5546875" style="279" customWidth="1"/>
    <col min="14104" max="14104" width="11.77734375" style="279" customWidth="1"/>
    <col min="14105" max="14105" width="13" style="279" bestFit="1" customWidth="1"/>
    <col min="14106" max="14106" width="11.77734375" style="279" customWidth="1"/>
    <col min="14107" max="14107" width="12.88671875" style="279" customWidth="1"/>
    <col min="14108" max="14108" width="13.109375" style="279" customWidth="1"/>
    <col min="14109" max="14109" width="11.33203125" style="279" customWidth="1"/>
    <col min="14110" max="14110" width="14.21875" style="279" customWidth="1"/>
    <col min="14111" max="14111" width="12.21875" style="279" customWidth="1"/>
    <col min="14112" max="14112" width="0" style="279" hidden="1" customWidth="1"/>
    <col min="14113" max="14113" width="11.88671875" style="279" customWidth="1"/>
    <col min="14114" max="14114" width="8.88671875" style="279" customWidth="1"/>
    <col min="14115" max="14115" width="12.33203125" style="279" customWidth="1"/>
    <col min="14116" max="14116" width="1.44140625" style="279" customWidth="1"/>
    <col min="14117" max="14117" width="10.77734375" style="279" customWidth="1"/>
    <col min="14118" max="14118" width="1.44140625" style="279" customWidth="1"/>
    <col min="14119" max="14119" width="8" style="279" customWidth="1"/>
    <col min="14120" max="14120" width="1.44140625" style="279" customWidth="1"/>
    <col min="14121" max="14121" width="17.77734375" style="279" customWidth="1"/>
    <col min="14122" max="14122" width="1.44140625" style="279" customWidth="1"/>
    <col min="14123" max="14123" width="17.77734375" style="279" customWidth="1"/>
    <col min="14124" max="14124" width="1.44140625" style="279" customWidth="1"/>
    <col min="14125" max="14333" width="8" style="279"/>
    <col min="14334" max="14334" width="1.44140625" style="279" customWidth="1"/>
    <col min="14335" max="14335" width="4.5546875" style="279" customWidth="1"/>
    <col min="14336" max="14336" width="9.21875" style="279" customWidth="1"/>
    <col min="14337" max="14337" width="14.109375" style="279" bestFit="1" customWidth="1"/>
    <col min="14338" max="14339" width="12.33203125" style="279" customWidth="1"/>
    <col min="14340" max="14340" width="13" style="279" bestFit="1" customWidth="1"/>
    <col min="14341" max="14341" width="14" style="279" customWidth="1"/>
    <col min="14342" max="14342" width="14.109375" style="279" bestFit="1" customWidth="1"/>
    <col min="14343" max="14344" width="12.33203125" style="279" customWidth="1"/>
    <col min="14345" max="14345" width="14.5546875" style="279" customWidth="1"/>
    <col min="14346" max="14346" width="14.44140625" style="279" customWidth="1"/>
    <col min="14347" max="14347" width="13.77734375" style="279" customWidth="1"/>
    <col min="14348" max="14350" width="13.109375" style="279" customWidth="1"/>
    <col min="14351" max="14351" width="14" style="279" customWidth="1"/>
    <col min="14352" max="14357" width="13.109375" style="279" customWidth="1"/>
    <col min="14358" max="14358" width="12.88671875" style="279" customWidth="1"/>
    <col min="14359" max="14359" width="10.5546875" style="279" customWidth="1"/>
    <col min="14360" max="14360" width="11.77734375" style="279" customWidth="1"/>
    <col min="14361" max="14361" width="13" style="279" bestFit="1" customWidth="1"/>
    <col min="14362" max="14362" width="11.77734375" style="279" customWidth="1"/>
    <col min="14363" max="14363" width="12.88671875" style="279" customWidth="1"/>
    <col min="14364" max="14364" width="13.109375" style="279" customWidth="1"/>
    <col min="14365" max="14365" width="11.33203125" style="279" customWidth="1"/>
    <col min="14366" max="14366" width="14.21875" style="279" customWidth="1"/>
    <col min="14367" max="14367" width="12.21875" style="279" customWidth="1"/>
    <col min="14368" max="14368" width="0" style="279" hidden="1" customWidth="1"/>
    <col min="14369" max="14369" width="11.88671875" style="279" customWidth="1"/>
    <col min="14370" max="14370" width="8.88671875" style="279" customWidth="1"/>
    <col min="14371" max="14371" width="12.33203125" style="279" customWidth="1"/>
    <col min="14372" max="14372" width="1.44140625" style="279" customWidth="1"/>
    <col min="14373" max="14373" width="10.77734375" style="279" customWidth="1"/>
    <col min="14374" max="14374" width="1.44140625" style="279" customWidth="1"/>
    <col min="14375" max="14375" width="8" style="279" customWidth="1"/>
    <col min="14376" max="14376" width="1.44140625" style="279" customWidth="1"/>
    <col min="14377" max="14377" width="17.77734375" style="279" customWidth="1"/>
    <col min="14378" max="14378" width="1.44140625" style="279" customWidth="1"/>
    <col min="14379" max="14379" width="17.77734375" style="279" customWidth="1"/>
    <col min="14380" max="14380" width="1.44140625" style="279" customWidth="1"/>
    <col min="14381" max="14589" width="8" style="279"/>
    <col min="14590" max="14590" width="1.44140625" style="279" customWidth="1"/>
    <col min="14591" max="14591" width="4.5546875" style="279" customWidth="1"/>
    <col min="14592" max="14592" width="9.21875" style="279" customWidth="1"/>
    <col min="14593" max="14593" width="14.109375" style="279" bestFit="1" customWidth="1"/>
    <col min="14594" max="14595" width="12.33203125" style="279" customWidth="1"/>
    <col min="14596" max="14596" width="13" style="279" bestFit="1" customWidth="1"/>
    <col min="14597" max="14597" width="14" style="279" customWidth="1"/>
    <col min="14598" max="14598" width="14.109375" style="279" bestFit="1" customWidth="1"/>
    <col min="14599" max="14600" width="12.33203125" style="279" customWidth="1"/>
    <col min="14601" max="14601" width="14.5546875" style="279" customWidth="1"/>
    <col min="14602" max="14602" width="14.44140625" style="279" customWidth="1"/>
    <col min="14603" max="14603" width="13.77734375" style="279" customWidth="1"/>
    <col min="14604" max="14606" width="13.109375" style="279" customWidth="1"/>
    <col min="14607" max="14607" width="14" style="279" customWidth="1"/>
    <col min="14608" max="14613" width="13.109375" style="279" customWidth="1"/>
    <col min="14614" max="14614" width="12.88671875" style="279" customWidth="1"/>
    <col min="14615" max="14615" width="10.5546875" style="279" customWidth="1"/>
    <col min="14616" max="14616" width="11.77734375" style="279" customWidth="1"/>
    <col min="14617" max="14617" width="13" style="279" bestFit="1" customWidth="1"/>
    <col min="14618" max="14618" width="11.77734375" style="279" customWidth="1"/>
    <col min="14619" max="14619" width="12.88671875" style="279" customWidth="1"/>
    <col min="14620" max="14620" width="13.109375" style="279" customWidth="1"/>
    <col min="14621" max="14621" width="11.33203125" style="279" customWidth="1"/>
    <col min="14622" max="14622" width="14.21875" style="279" customWidth="1"/>
    <col min="14623" max="14623" width="12.21875" style="279" customWidth="1"/>
    <col min="14624" max="14624" width="0" style="279" hidden="1" customWidth="1"/>
    <col min="14625" max="14625" width="11.88671875" style="279" customWidth="1"/>
    <col min="14626" max="14626" width="8.88671875" style="279" customWidth="1"/>
    <col min="14627" max="14627" width="12.33203125" style="279" customWidth="1"/>
    <col min="14628" max="14628" width="1.44140625" style="279" customWidth="1"/>
    <col min="14629" max="14629" width="10.77734375" style="279" customWidth="1"/>
    <col min="14630" max="14630" width="1.44140625" style="279" customWidth="1"/>
    <col min="14631" max="14631" width="8" style="279" customWidth="1"/>
    <col min="14632" max="14632" width="1.44140625" style="279" customWidth="1"/>
    <col min="14633" max="14633" width="17.77734375" style="279" customWidth="1"/>
    <col min="14634" max="14634" width="1.44140625" style="279" customWidth="1"/>
    <col min="14635" max="14635" width="17.77734375" style="279" customWidth="1"/>
    <col min="14636" max="14636" width="1.44140625" style="279" customWidth="1"/>
    <col min="14637" max="14845" width="8" style="279"/>
    <col min="14846" max="14846" width="1.44140625" style="279" customWidth="1"/>
    <col min="14847" max="14847" width="4.5546875" style="279" customWidth="1"/>
    <col min="14848" max="14848" width="9.21875" style="279" customWidth="1"/>
    <col min="14849" max="14849" width="14.109375" style="279" bestFit="1" customWidth="1"/>
    <col min="14850" max="14851" width="12.33203125" style="279" customWidth="1"/>
    <col min="14852" max="14852" width="13" style="279" bestFit="1" customWidth="1"/>
    <col min="14853" max="14853" width="14" style="279" customWidth="1"/>
    <col min="14854" max="14854" width="14.109375" style="279" bestFit="1" customWidth="1"/>
    <col min="14855" max="14856" width="12.33203125" style="279" customWidth="1"/>
    <col min="14857" max="14857" width="14.5546875" style="279" customWidth="1"/>
    <col min="14858" max="14858" width="14.44140625" style="279" customWidth="1"/>
    <col min="14859" max="14859" width="13.77734375" style="279" customWidth="1"/>
    <col min="14860" max="14862" width="13.109375" style="279" customWidth="1"/>
    <col min="14863" max="14863" width="14" style="279" customWidth="1"/>
    <col min="14864" max="14869" width="13.109375" style="279" customWidth="1"/>
    <col min="14870" max="14870" width="12.88671875" style="279" customWidth="1"/>
    <col min="14871" max="14871" width="10.5546875" style="279" customWidth="1"/>
    <col min="14872" max="14872" width="11.77734375" style="279" customWidth="1"/>
    <col min="14873" max="14873" width="13" style="279" bestFit="1" customWidth="1"/>
    <col min="14874" max="14874" width="11.77734375" style="279" customWidth="1"/>
    <col min="14875" max="14875" width="12.88671875" style="279" customWidth="1"/>
    <col min="14876" max="14876" width="13.109375" style="279" customWidth="1"/>
    <col min="14877" max="14877" width="11.33203125" style="279" customWidth="1"/>
    <col min="14878" max="14878" width="14.21875" style="279" customWidth="1"/>
    <col min="14879" max="14879" width="12.21875" style="279" customWidth="1"/>
    <col min="14880" max="14880" width="0" style="279" hidden="1" customWidth="1"/>
    <col min="14881" max="14881" width="11.88671875" style="279" customWidth="1"/>
    <col min="14882" max="14882" width="8.88671875" style="279" customWidth="1"/>
    <col min="14883" max="14883" width="12.33203125" style="279" customWidth="1"/>
    <col min="14884" max="14884" width="1.44140625" style="279" customWidth="1"/>
    <col min="14885" max="14885" width="10.77734375" style="279" customWidth="1"/>
    <col min="14886" max="14886" width="1.44140625" style="279" customWidth="1"/>
    <col min="14887" max="14887" width="8" style="279" customWidth="1"/>
    <col min="14888" max="14888" width="1.44140625" style="279" customWidth="1"/>
    <col min="14889" max="14889" width="17.77734375" style="279" customWidth="1"/>
    <col min="14890" max="14890" width="1.44140625" style="279" customWidth="1"/>
    <col min="14891" max="14891" width="17.77734375" style="279" customWidth="1"/>
    <col min="14892" max="14892" width="1.44140625" style="279" customWidth="1"/>
    <col min="14893" max="15101" width="8" style="279"/>
    <col min="15102" max="15102" width="1.44140625" style="279" customWidth="1"/>
    <col min="15103" max="15103" width="4.5546875" style="279" customWidth="1"/>
    <col min="15104" max="15104" width="9.21875" style="279" customWidth="1"/>
    <col min="15105" max="15105" width="14.109375" style="279" bestFit="1" customWidth="1"/>
    <col min="15106" max="15107" width="12.33203125" style="279" customWidth="1"/>
    <col min="15108" max="15108" width="13" style="279" bestFit="1" customWidth="1"/>
    <col min="15109" max="15109" width="14" style="279" customWidth="1"/>
    <col min="15110" max="15110" width="14.109375" style="279" bestFit="1" customWidth="1"/>
    <col min="15111" max="15112" width="12.33203125" style="279" customWidth="1"/>
    <col min="15113" max="15113" width="14.5546875" style="279" customWidth="1"/>
    <col min="15114" max="15114" width="14.44140625" style="279" customWidth="1"/>
    <col min="15115" max="15115" width="13.77734375" style="279" customWidth="1"/>
    <col min="15116" max="15118" width="13.109375" style="279" customWidth="1"/>
    <col min="15119" max="15119" width="14" style="279" customWidth="1"/>
    <col min="15120" max="15125" width="13.109375" style="279" customWidth="1"/>
    <col min="15126" max="15126" width="12.88671875" style="279" customWidth="1"/>
    <col min="15127" max="15127" width="10.5546875" style="279" customWidth="1"/>
    <col min="15128" max="15128" width="11.77734375" style="279" customWidth="1"/>
    <col min="15129" max="15129" width="13" style="279" bestFit="1" customWidth="1"/>
    <col min="15130" max="15130" width="11.77734375" style="279" customWidth="1"/>
    <col min="15131" max="15131" width="12.88671875" style="279" customWidth="1"/>
    <col min="15132" max="15132" width="13.109375" style="279" customWidth="1"/>
    <col min="15133" max="15133" width="11.33203125" style="279" customWidth="1"/>
    <col min="15134" max="15134" width="14.21875" style="279" customWidth="1"/>
    <col min="15135" max="15135" width="12.21875" style="279" customWidth="1"/>
    <col min="15136" max="15136" width="0" style="279" hidden="1" customWidth="1"/>
    <col min="15137" max="15137" width="11.88671875" style="279" customWidth="1"/>
    <col min="15138" max="15138" width="8.88671875" style="279" customWidth="1"/>
    <col min="15139" max="15139" width="12.33203125" style="279" customWidth="1"/>
    <col min="15140" max="15140" width="1.44140625" style="279" customWidth="1"/>
    <col min="15141" max="15141" width="10.77734375" style="279" customWidth="1"/>
    <col min="15142" max="15142" width="1.44140625" style="279" customWidth="1"/>
    <col min="15143" max="15143" width="8" style="279" customWidth="1"/>
    <col min="15144" max="15144" width="1.44140625" style="279" customWidth="1"/>
    <col min="15145" max="15145" width="17.77734375" style="279" customWidth="1"/>
    <col min="15146" max="15146" width="1.44140625" style="279" customWidth="1"/>
    <col min="15147" max="15147" width="17.77734375" style="279" customWidth="1"/>
    <col min="15148" max="15148" width="1.44140625" style="279" customWidth="1"/>
    <col min="15149" max="15357" width="8" style="279"/>
    <col min="15358" max="15358" width="1.44140625" style="279" customWidth="1"/>
    <col min="15359" max="15359" width="4.5546875" style="279" customWidth="1"/>
    <col min="15360" max="15360" width="9.21875" style="279" customWidth="1"/>
    <col min="15361" max="15361" width="14.109375" style="279" bestFit="1" customWidth="1"/>
    <col min="15362" max="15363" width="12.33203125" style="279" customWidth="1"/>
    <col min="15364" max="15364" width="13" style="279" bestFit="1" customWidth="1"/>
    <col min="15365" max="15365" width="14" style="279" customWidth="1"/>
    <col min="15366" max="15366" width="14.109375" style="279" bestFit="1" customWidth="1"/>
    <col min="15367" max="15368" width="12.33203125" style="279" customWidth="1"/>
    <col min="15369" max="15369" width="14.5546875" style="279" customWidth="1"/>
    <col min="15370" max="15370" width="14.44140625" style="279" customWidth="1"/>
    <col min="15371" max="15371" width="13.77734375" style="279" customWidth="1"/>
    <col min="15372" max="15374" width="13.109375" style="279" customWidth="1"/>
    <col min="15375" max="15375" width="14" style="279" customWidth="1"/>
    <col min="15376" max="15381" width="13.109375" style="279" customWidth="1"/>
    <col min="15382" max="15382" width="12.88671875" style="279" customWidth="1"/>
    <col min="15383" max="15383" width="10.5546875" style="279" customWidth="1"/>
    <col min="15384" max="15384" width="11.77734375" style="279" customWidth="1"/>
    <col min="15385" max="15385" width="13" style="279" bestFit="1" customWidth="1"/>
    <col min="15386" max="15386" width="11.77734375" style="279" customWidth="1"/>
    <col min="15387" max="15387" width="12.88671875" style="279" customWidth="1"/>
    <col min="15388" max="15388" width="13.109375" style="279" customWidth="1"/>
    <col min="15389" max="15389" width="11.33203125" style="279" customWidth="1"/>
    <col min="15390" max="15390" width="14.21875" style="279" customWidth="1"/>
    <col min="15391" max="15391" width="12.21875" style="279" customWidth="1"/>
    <col min="15392" max="15392" width="0" style="279" hidden="1" customWidth="1"/>
    <col min="15393" max="15393" width="11.88671875" style="279" customWidth="1"/>
    <col min="15394" max="15394" width="8.88671875" style="279" customWidth="1"/>
    <col min="15395" max="15395" width="12.33203125" style="279" customWidth="1"/>
    <col min="15396" max="15396" width="1.44140625" style="279" customWidth="1"/>
    <col min="15397" max="15397" width="10.77734375" style="279" customWidth="1"/>
    <col min="15398" max="15398" width="1.44140625" style="279" customWidth="1"/>
    <col min="15399" max="15399" width="8" style="279" customWidth="1"/>
    <col min="15400" max="15400" width="1.44140625" style="279" customWidth="1"/>
    <col min="15401" max="15401" width="17.77734375" style="279" customWidth="1"/>
    <col min="15402" max="15402" width="1.44140625" style="279" customWidth="1"/>
    <col min="15403" max="15403" width="17.77734375" style="279" customWidth="1"/>
    <col min="15404" max="15404" width="1.44140625" style="279" customWidth="1"/>
    <col min="15405" max="15613" width="8" style="279"/>
    <col min="15614" max="15614" width="1.44140625" style="279" customWidth="1"/>
    <col min="15615" max="15615" width="4.5546875" style="279" customWidth="1"/>
    <col min="15616" max="15616" width="9.21875" style="279" customWidth="1"/>
    <col min="15617" max="15617" width="14.109375" style="279" bestFit="1" customWidth="1"/>
    <col min="15618" max="15619" width="12.33203125" style="279" customWidth="1"/>
    <col min="15620" max="15620" width="13" style="279" bestFit="1" customWidth="1"/>
    <col min="15621" max="15621" width="14" style="279" customWidth="1"/>
    <col min="15622" max="15622" width="14.109375" style="279" bestFit="1" customWidth="1"/>
    <col min="15623" max="15624" width="12.33203125" style="279" customWidth="1"/>
    <col min="15625" max="15625" width="14.5546875" style="279" customWidth="1"/>
    <col min="15626" max="15626" width="14.44140625" style="279" customWidth="1"/>
    <col min="15627" max="15627" width="13.77734375" style="279" customWidth="1"/>
    <col min="15628" max="15630" width="13.109375" style="279" customWidth="1"/>
    <col min="15631" max="15631" width="14" style="279" customWidth="1"/>
    <col min="15632" max="15637" width="13.109375" style="279" customWidth="1"/>
    <col min="15638" max="15638" width="12.88671875" style="279" customWidth="1"/>
    <col min="15639" max="15639" width="10.5546875" style="279" customWidth="1"/>
    <col min="15640" max="15640" width="11.77734375" style="279" customWidth="1"/>
    <col min="15641" max="15641" width="13" style="279" bestFit="1" customWidth="1"/>
    <col min="15642" max="15642" width="11.77734375" style="279" customWidth="1"/>
    <col min="15643" max="15643" width="12.88671875" style="279" customWidth="1"/>
    <col min="15644" max="15644" width="13.109375" style="279" customWidth="1"/>
    <col min="15645" max="15645" width="11.33203125" style="279" customWidth="1"/>
    <col min="15646" max="15646" width="14.21875" style="279" customWidth="1"/>
    <col min="15647" max="15647" width="12.21875" style="279" customWidth="1"/>
    <col min="15648" max="15648" width="0" style="279" hidden="1" customWidth="1"/>
    <col min="15649" max="15649" width="11.88671875" style="279" customWidth="1"/>
    <col min="15650" max="15650" width="8.88671875" style="279" customWidth="1"/>
    <col min="15651" max="15651" width="12.33203125" style="279" customWidth="1"/>
    <col min="15652" max="15652" width="1.44140625" style="279" customWidth="1"/>
    <col min="15653" max="15653" width="10.77734375" style="279" customWidth="1"/>
    <col min="15654" max="15654" width="1.44140625" style="279" customWidth="1"/>
    <col min="15655" max="15655" width="8" style="279" customWidth="1"/>
    <col min="15656" max="15656" width="1.44140625" style="279" customWidth="1"/>
    <col min="15657" max="15657" width="17.77734375" style="279" customWidth="1"/>
    <col min="15658" max="15658" width="1.44140625" style="279" customWidth="1"/>
    <col min="15659" max="15659" width="17.77734375" style="279" customWidth="1"/>
    <col min="15660" max="15660" width="1.44140625" style="279" customWidth="1"/>
    <col min="15661" max="15869" width="8" style="279"/>
    <col min="15870" max="15870" width="1.44140625" style="279" customWidth="1"/>
    <col min="15871" max="15871" width="4.5546875" style="279" customWidth="1"/>
    <col min="15872" max="15872" width="9.21875" style="279" customWidth="1"/>
    <col min="15873" max="15873" width="14.109375" style="279" bestFit="1" customWidth="1"/>
    <col min="15874" max="15875" width="12.33203125" style="279" customWidth="1"/>
    <col min="15876" max="15876" width="13" style="279" bestFit="1" customWidth="1"/>
    <col min="15877" max="15877" width="14" style="279" customWidth="1"/>
    <col min="15878" max="15878" width="14.109375" style="279" bestFit="1" customWidth="1"/>
    <col min="15879" max="15880" width="12.33203125" style="279" customWidth="1"/>
    <col min="15881" max="15881" width="14.5546875" style="279" customWidth="1"/>
    <col min="15882" max="15882" width="14.44140625" style="279" customWidth="1"/>
    <col min="15883" max="15883" width="13.77734375" style="279" customWidth="1"/>
    <col min="15884" max="15886" width="13.109375" style="279" customWidth="1"/>
    <col min="15887" max="15887" width="14" style="279" customWidth="1"/>
    <col min="15888" max="15893" width="13.109375" style="279" customWidth="1"/>
    <col min="15894" max="15894" width="12.88671875" style="279" customWidth="1"/>
    <col min="15895" max="15895" width="10.5546875" style="279" customWidth="1"/>
    <col min="15896" max="15896" width="11.77734375" style="279" customWidth="1"/>
    <col min="15897" max="15897" width="13" style="279" bestFit="1" customWidth="1"/>
    <col min="15898" max="15898" width="11.77734375" style="279" customWidth="1"/>
    <col min="15899" max="15899" width="12.88671875" style="279" customWidth="1"/>
    <col min="15900" max="15900" width="13.109375" style="279" customWidth="1"/>
    <col min="15901" max="15901" width="11.33203125" style="279" customWidth="1"/>
    <col min="15902" max="15902" width="14.21875" style="279" customWidth="1"/>
    <col min="15903" max="15903" width="12.21875" style="279" customWidth="1"/>
    <col min="15904" max="15904" width="0" style="279" hidden="1" customWidth="1"/>
    <col min="15905" max="15905" width="11.88671875" style="279" customWidth="1"/>
    <col min="15906" max="15906" width="8.88671875" style="279" customWidth="1"/>
    <col min="15907" max="15907" width="12.33203125" style="279" customWidth="1"/>
    <col min="15908" max="15908" width="1.44140625" style="279" customWidth="1"/>
    <col min="15909" max="15909" width="10.77734375" style="279" customWidth="1"/>
    <col min="15910" max="15910" width="1.44140625" style="279" customWidth="1"/>
    <col min="15911" max="15911" width="8" style="279" customWidth="1"/>
    <col min="15912" max="15912" width="1.44140625" style="279" customWidth="1"/>
    <col min="15913" max="15913" width="17.77734375" style="279" customWidth="1"/>
    <col min="15914" max="15914" width="1.44140625" style="279" customWidth="1"/>
    <col min="15915" max="15915" width="17.77734375" style="279" customWidth="1"/>
    <col min="15916" max="15916" width="1.44140625" style="279" customWidth="1"/>
    <col min="15917" max="16125" width="8" style="279"/>
    <col min="16126" max="16126" width="1.44140625" style="279" customWidth="1"/>
    <col min="16127" max="16127" width="4.5546875" style="279" customWidth="1"/>
    <col min="16128" max="16128" width="9.21875" style="279" customWidth="1"/>
    <col min="16129" max="16129" width="14.109375" style="279" bestFit="1" customWidth="1"/>
    <col min="16130" max="16131" width="12.33203125" style="279" customWidth="1"/>
    <col min="16132" max="16132" width="13" style="279" bestFit="1" customWidth="1"/>
    <col min="16133" max="16133" width="14" style="279" customWidth="1"/>
    <col min="16134" max="16134" width="14.109375" style="279" bestFit="1" customWidth="1"/>
    <col min="16135" max="16136" width="12.33203125" style="279" customWidth="1"/>
    <col min="16137" max="16137" width="14.5546875" style="279" customWidth="1"/>
    <col min="16138" max="16138" width="14.44140625" style="279" customWidth="1"/>
    <col min="16139" max="16139" width="13.77734375" style="279" customWidth="1"/>
    <col min="16140" max="16142" width="13.109375" style="279" customWidth="1"/>
    <col min="16143" max="16143" width="14" style="279" customWidth="1"/>
    <col min="16144" max="16149" width="13.109375" style="279" customWidth="1"/>
    <col min="16150" max="16150" width="12.88671875" style="279" customWidth="1"/>
    <col min="16151" max="16151" width="10.5546875" style="279" customWidth="1"/>
    <col min="16152" max="16152" width="11.77734375" style="279" customWidth="1"/>
    <col min="16153" max="16153" width="13" style="279" bestFit="1" customWidth="1"/>
    <col min="16154" max="16154" width="11.77734375" style="279" customWidth="1"/>
    <col min="16155" max="16155" width="12.88671875" style="279" customWidth="1"/>
    <col min="16156" max="16156" width="13.109375" style="279" customWidth="1"/>
    <col min="16157" max="16157" width="11.33203125" style="279" customWidth="1"/>
    <col min="16158" max="16158" width="14.21875" style="279" customWidth="1"/>
    <col min="16159" max="16159" width="12.21875" style="279" customWidth="1"/>
    <col min="16160" max="16160" width="0" style="279" hidden="1" customWidth="1"/>
    <col min="16161" max="16161" width="11.88671875" style="279" customWidth="1"/>
    <col min="16162" max="16162" width="8.88671875" style="279" customWidth="1"/>
    <col min="16163" max="16163" width="12.33203125" style="279" customWidth="1"/>
    <col min="16164" max="16164" width="1.44140625" style="279" customWidth="1"/>
    <col min="16165" max="16165" width="10.77734375" style="279" customWidth="1"/>
    <col min="16166" max="16166" width="1.44140625" style="279" customWidth="1"/>
    <col min="16167" max="16167" width="8" style="279" customWidth="1"/>
    <col min="16168" max="16168" width="1.44140625" style="279" customWidth="1"/>
    <col min="16169" max="16169" width="17.77734375" style="279" customWidth="1"/>
    <col min="16170" max="16170" width="1.44140625" style="279" customWidth="1"/>
    <col min="16171" max="16171" width="17.77734375" style="279" customWidth="1"/>
    <col min="16172" max="16172" width="1.44140625" style="279" customWidth="1"/>
    <col min="16173" max="16177" width="8" style="279"/>
    <col min="16178" max="16384" width="8.88671875" style="279"/>
  </cols>
  <sheetData>
    <row r="2" spans="1:37" ht="18.75"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1"/>
      <c r="Q2" s="281"/>
      <c r="R2" s="281"/>
      <c r="S2" s="280"/>
      <c r="T2" s="280"/>
      <c r="U2" s="280"/>
      <c r="V2" s="280"/>
      <c r="W2" s="280"/>
      <c r="X2" s="280"/>
      <c r="Y2" s="280"/>
      <c r="Z2" s="281"/>
      <c r="AA2" s="281"/>
      <c r="AB2" s="280"/>
      <c r="AC2" s="282"/>
      <c r="AD2" s="282"/>
    </row>
    <row r="3" spans="1:37" ht="18.75">
      <c r="C3" s="280"/>
      <c r="D3" s="280"/>
      <c r="E3" s="280"/>
      <c r="F3" s="280"/>
      <c r="G3" s="280"/>
      <c r="H3" s="280"/>
      <c r="I3" s="280"/>
      <c r="J3" s="280"/>
      <c r="K3" s="280"/>
      <c r="L3" s="280" t="s">
        <v>250</v>
      </c>
      <c r="M3" s="280"/>
      <c r="N3" s="280"/>
      <c r="O3" s="280"/>
      <c r="P3" s="281"/>
      <c r="Q3" s="281"/>
      <c r="R3" s="281"/>
      <c r="S3" s="280"/>
      <c r="T3" s="280"/>
      <c r="U3" s="280"/>
      <c r="V3" s="280"/>
      <c r="W3" s="280"/>
      <c r="X3" s="280"/>
      <c r="Y3" s="280"/>
      <c r="Z3" s="281"/>
      <c r="AA3" s="281"/>
      <c r="AB3" s="280"/>
      <c r="AC3" s="282"/>
      <c r="AD3" s="282"/>
    </row>
    <row r="4" spans="1:37" ht="15.75">
      <c r="I4" s="282"/>
      <c r="J4" s="282"/>
      <c r="K4" s="282"/>
      <c r="L4" s="282" t="s">
        <v>252</v>
      </c>
      <c r="AD4" s="282"/>
    </row>
    <row r="5" spans="1:37" ht="18.75" thickBot="1">
      <c r="A5" s="279" t="s">
        <v>1</v>
      </c>
      <c r="I5" s="282"/>
      <c r="J5" s="282"/>
      <c r="L5" s="282"/>
      <c r="AE5" s="285"/>
      <c r="AH5" s="279"/>
    </row>
    <row r="6" spans="1:37">
      <c r="D6" s="423" t="s">
        <v>253</v>
      </c>
      <c r="E6" s="423"/>
      <c r="F6" s="423"/>
      <c r="G6" s="423"/>
      <c r="H6" s="423" t="s">
        <v>254</v>
      </c>
      <c r="I6" s="423"/>
      <c r="J6" s="423"/>
      <c r="K6" s="423"/>
      <c r="L6" s="423" t="s">
        <v>255</v>
      </c>
      <c r="M6" s="423"/>
      <c r="N6" s="423"/>
      <c r="O6" s="423"/>
      <c r="P6" s="423" t="s">
        <v>256</v>
      </c>
      <c r="Q6" s="423"/>
      <c r="R6" s="423"/>
      <c r="S6" s="423"/>
      <c r="T6" s="423"/>
      <c r="U6" s="423"/>
      <c r="V6" s="423"/>
      <c r="W6" s="423" t="s">
        <v>257</v>
      </c>
      <c r="X6" s="423"/>
      <c r="Y6" s="423"/>
      <c r="Z6" s="423" t="s">
        <v>258</v>
      </c>
      <c r="AA6" s="423"/>
      <c r="AB6" s="423"/>
      <c r="AC6" s="423"/>
      <c r="AH6" s="279"/>
    </row>
    <row r="7" spans="1:37">
      <c r="D7" s="286"/>
      <c r="G7" s="287"/>
      <c r="H7" s="286"/>
      <c r="K7" s="287"/>
      <c r="L7" s="286"/>
      <c r="O7" s="287"/>
      <c r="P7" s="288"/>
      <c r="V7" s="287"/>
      <c r="W7" s="286"/>
      <c r="Y7" s="287"/>
      <c r="Z7" s="422"/>
      <c r="AA7" s="422"/>
      <c r="AB7" s="422"/>
      <c r="AC7" s="422"/>
      <c r="AH7" s="279"/>
    </row>
    <row r="8" spans="1:37" ht="15.75">
      <c r="C8" s="66" t="s">
        <v>77</v>
      </c>
      <c r="D8" s="290">
        <v>2010</v>
      </c>
      <c r="E8" s="291"/>
      <c r="F8" s="291"/>
      <c r="G8" s="292" t="s">
        <v>74</v>
      </c>
      <c r="H8" s="290">
        <v>2010</v>
      </c>
      <c r="I8" s="291"/>
      <c r="J8" s="291"/>
      <c r="K8" s="292" t="s">
        <v>74</v>
      </c>
      <c r="L8" s="290">
        <v>2010</v>
      </c>
      <c r="M8" s="291"/>
      <c r="N8" s="291"/>
      <c r="O8" s="292" t="s">
        <v>74</v>
      </c>
      <c r="P8" s="293">
        <v>2010</v>
      </c>
      <c r="Q8" s="294">
        <v>2010</v>
      </c>
      <c r="R8" s="294"/>
      <c r="V8" s="289" t="s">
        <v>74</v>
      </c>
      <c r="W8" s="290">
        <v>2010</v>
      </c>
      <c r="X8" s="291"/>
      <c r="Y8" s="292" t="s">
        <v>74</v>
      </c>
      <c r="Z8" s="295"/>
      <c r="AA8" s="289">
        <v>2010</v>
      </c>
      <c r="AB8" s="289" t="s">
        <v>74</v>
      </c>
      <c r="AC8" s="292">
        <v>2010</v>
      </c>
      <c r="AD8" s="289"/>
      <c r="AE8" s="291"/>
      <c r="AF8" s="291"/>
      <c r="AG8" s="291"/>
      <c r="AH8" s="291"/>
    </row>
    <row r="9" spans="1:37" ht="15.75">
      <c r="C9" s="67" t="s">
        <v>46</v>
      </c>
      <c r="D9" s="290" t="s">
        <v>72</v>
      </c>
      <c r="E9" s="296"/>
      <c r="F9" s="296"/>
      <c r="G9" s="292" t="s">
        <v>234</v>
      </c>
      <c r="H9" s="290" t="s">
        <v>70</v>
      </c>
      <c r="I9" s="296"/>
      <c r="J9" s="296"/>
      <c r="K9" s="292" t="s">
        <v>234</v>
      </c>
      <c r="L9" s="290" t="s">
        <v>71</v>
      </c>
      <c r="M9" s="296"/>
      <c r="N9" s="296"/>
      <c r="O9" s="292" t="s">
        <v>234</v>
      </c>
      <c r="P9" s="297" t="s">
        <v>259</v>
      </c>
      <c r="Q9" s="298" t="s">
        <v>260</v>
      </c>
      <c r="R9" s="298"/>
      <c r="V9" s="289" t="s">
        <v>234</v>
      </c>
      <c r="W9" s="290" t="s">
        <v>73</v>
      </c>
      <c r="X9" s="296"/>
      <c r="Y9" s="292" t="s">
        <v>234</v>
      </c>
      <c r="Z9" s="295"/>
      <c r="AA9" s="289" t="s">
        <v>61</v>
      </c>
      <c r="AB9" s="289" t="s">
        <v>275</v>
      </c>
      <c r="AC9" s="292" t="s">
        <v>48</v>
      </c>
      <c r="AD9" s="289" t="s">
        <v>234</v>
      </c>
      <c r="AE9" s="291" t="s">
        <v>142</v>
      </c>
      <c r="AF9" s="291"/>
      <c r="AG9" s="291"/>
      <c r="AH9" s="291"/>
    </row>
    <row r="10" spans="1:37" ht="15.75">
      <c r="B10" s="279" t="s">
        <v>66</v>
      </c>
      <c r="C10" s="67" t="s">
        <v>78</v>
      </c>
      <c r="D10" s="290" t="s">
        <v>69</v>
      </c>
      <c r="E10" s="291"/>
      <c r="F10" s="291" t="s">
        <v>261</v>
      </c>
      <c r="G10" s="292" t="s">
        <v>81</v>
      </c>
      <c r="H10" s="290" t="s">
        <v>40</v>
      </c>
      <c r="I10" s="291"/>
      <c r="J10" s="291" t="s">
        <v>261</v>
      </c>
      <c r="K10" s="292" t="s">
        <v>90</v>
      </c>
      <c r="L10" s="290" t="s">
        <v>50</v>
      </c>
      <c r="M10" s="291"/>
      <c r="N10" s="291" t="s">
        <v>261</v>
      </c>
      <c r="O10" s="292" t="s">
        <v>82</v>
      </c>
      <c r="P10" s="293" t="s">
        <v>262</v>
      </c>
      <c r="Q10" s="294" t="s">
        <v>263</v>
      </c>
      <c r="R10" s="294" t="s">
        <v>264</v>
      </c>
      <c r="S10" s="294" t="s">
        <v>265</v>
      </c>
      <c r="T10" s="294" t="s">
        <v>264</v>
      </c>
      <c r="U10" s="294" t="s">
        <v>265</v>
      </c>
      <c r="V10" s="289" t="s">
        <v>266</v>
      </c>
      <c r="W10" s="290" t="s">
        <v>56</v>
      </c>
      <c r="X10" s="291"/>
      <c r="Y10" s="292" t="s">
        <v>84</v>
      </c>
      <c r="Z10" s="295"/>
      <c r="AA10" s="289" t="s">
        <v>25</v>
      </c>
      <c r="AB10" s="289" t="s">
        <v>25</v>
      </c>
      <c r="AC10" s="292" t="s">
        <v>25</v>
      </c>
      <c r="AD10" s="289" t="s">
        <v>41</v>
      </c>
      <c r="AE10" s="291" t="s">
        <v>41</v>
      </c>
      <c r="AF10" s="291"/>
      <c r="AG10" s="291"/>
      <c r="AH10" s="299" t="s">
        <v>75</v>
      </c>
    </row>
    <row r="11" spans="1:37" ht="15.75">
      <c r="C11" s="67" t="s">
        <v>242</v>
      </c>
      <c r="D11" s="290" t="s">
        <v>67</v>
      </c>
      <c r="E11" s="291" t="s">
        <v>273</v>
      </c>
      <c r="F11" s="291" t="s">
        <v>268</v>
      </c>
      <c r="G11" s="292" t="s">
        <v>69</v>
      </c>
      <c r="H11" s="290" t="s">
        <v>53</v>
      </c>
      <c r="I11" s="291" t="s">
        <v>273</v>
      </c>
      <c r="J11" s="291" t="s">
        <v>268</v>
      </c>
      <c r="K11" s="292" t="s">
        <v>40</v>
      </c>
      <c r="L11" s="290" t="s">
        <v>53</v>
      </c>
      <c r="M11" s="291" t="s">
        <v>273</v>
      </c>
      <c r="N11" s="291" t="s">
        <v>268</v>
      </c>
      <c r="O11" s="292" t="s">
        <v>83</v>
      </c>
      <c r="P11" s="293" t="s">
        <v>264</v>
      </c>
      <c r="Q11" s="294" t="s">
        <v>265</v>
      </c>
      <c r="R11" s="291" t="s">
        <v>267</v>
      </c>
      <c r="S11" s="291" t="s">
        <v>267</v>
      </c>
      <c r="T11" s="291" t="s">
        <v>273</v>
      </c>
      <c r="U11" s="291" t="s">
        <v>273</v>
      </c>
      <c r="V11" s="289" t="s">
        <v>269</v>
      </c>
      <c r="W11" s="290" t="s">
        <v>38</v>
      </c>
      <c r="X11" s="291" t="s">
        <v>273</v>
      </c>
      <c r="Y11" s="292" t="s">
        <v>85</v>
      </c>
      <c r="Z11" s="290" t="s">
        <v>273</v>
      </c>
      <c r="AA11" s="289" t="s">
        <v>27</v>
      </c>
      <c r="AB11" s="289" t="s">
        <v>27</v>
      </c>
      <c r="AC11" s="292" t="s">
        <v>27</v>
      </c>
      <c r="AD11" s="289" t="s">
        <v>33</v>
      </c>
      <c r="AE11" s="291" t="s">
        <v>30</v>
      </c>
      <c r="AF11" s="291"/>
      <c r="AG11" s="291" t="s">
        <v>43</v>
      </c>
      <c r="AH11" s="299" t="s">
        <v>76</v>
      </c>
      <c r="AI11" s="279" t="s">
        <v>62</v>
      </c>
    </row>
    <row r="12" spans="1:37" ht="16.5" thickBot="1">
      <c r="C12" s="67" t="s">
        <v>79</v>
      </c>
      <c r="D12" s="300"/>
      <c r="E12" s="302" t="s">
        <v>270</v>
      </c>
      <c r="F12" s="302" t="s">
        <v>271</v>
      </c>
      <c r="G12" s="303" t="s">
        <v>67</v>
      </c>
      <c r="H12" s="300"/>
      <c r="I12" s="302" t="s">
        <v>270</v>
      </c>
      <c r="J12" s="302" t="s">
        <v>271</v>
      </c>
      <c r="K12" s="303" t="s">
        <v>53</v>
      </c>
      <c r="L12" s="300"/>
      <c r="M12" s="302" t="s">
        <v>270</v>
      </c>
      <c r="N12" s="302" t="s">
        <v>271</v>
      </c>
      <c r="O12" s="303" t="s">
        <v>53</v>
      </c>
      <c r="P12" s="304"/>
      <c r="Q12" s="305"/>
      <c r="R12" s="302" t="s">
        <v>270</v>
      </c>
      <c r="S12" s="302" t="s">
        <v>270</v>
      </c>
      <c r="T12" s="302" t="s">
        <v>270</v>
      </c>
      <c r="U12" s="302" t="s">
        <v>270</v>
      </c>
      <c r="V12" s="306" t="s">
        <v>272</v>
      </c>
      <c r="W12" s="300"/>
      <c r="X12" s="302" t="s">
        <v>270</v>
      </c>
      <c r="Y12" s="303" t="s">
        <v>38</v>
      </c>
      <c r="Z12" s="307" t="s">
        <v>270</v>
      </c>
      <c r="AA12" s="301" t="s">
        <v>274</v>
      </c>
      <c r="AB12" s="43" t="s">
        <v>274</v>
      </c>
      <c r="AC12" s="421" t="s">
        <v>274</v>
      </c>
      <c r="AD12" s="289"/>
      <c r="AE12" s="291"/>
      <c r="AF12" s="291"/>
      <c r="AG12" s="291"/>
      <c r="AH12" s="291"/>
    </row>
    <row r="13" spans="1:37" ht="16.5" thickBot="1">
      <c r="A13" s="308"/>
      <c r="B13" s="309" t="s">
        <v>8</v>
      </c>
      <c r="C13" s="54">
        <v>3.1020299958736966E-2</v>
      </c>
      <c r="D13" s="310">
        <v>769927</v>
      </c>
      <c r="E13" s="412">
        <v>82690.880000000005</v>
      </c>
      <c r="F13" s="312">
        <v>0</v>
      </c>
      <c r="G13" s="313">
        <f>SUM(D13:F13)</f>
        <v>852617.88</v>
      </c>
      <c r="H13" s="419">
        <v>877606</v>
      </c>
      <c r="I13" s="419">
        <v>8509.91</v>
      </c>
      <c r="J13" s="335">
        <v>0</v>
      </c>
      <c r="K13" s="314">
        <f>SUM(H13:J13)</f>
        <v>886115.91</v>
      </c>
      <c r="L13" s="315">
        <v>440590</v>
      </c>
      <c r="M13" s="317">
        <v>2090.5300000000002</v>
      </c>
      <c r="N13" s="316"/>
      <c r="O13" s="314">
        <f>SUM(L13:N13)</f>
        <v>442680.53</v>
      </c>
      <c r="P13" s="318">
        <v>64913</v>
      </c>
      <c r="Q13" s="321">
        <v>23954</v>
      </c>
      <c r="R13" s="321">
        <v>0</v>
      </c>
      <c r="S13" s="321">
        <v>0</v>
      </c>
      <c r="T13" s="321">
        <v>0</v>
      </c>
      <c r="U13" s="319">
        <v>0</v>
      </c>
      <c r="V13" s="314">
        <f>SUM(P13:U13)</f>
        <v>88867</v>
      </c>
      <c r="W13" s="315">
        <v>282789</v>
      </c>
      <c r="X13" s="317">
        <v>79682.48</v>
      </c>
      <c r="Y13" s="320">
        <f>SUM(W13:X13)</f>
        <v>362471.48</v>
      </c>
      <c r="Z13" s="321">
        <v>1295.3499999999999</v>
      </c>
      <c r="AA13" s="322">
        <v>365139</v>
      </c>
      <c r="AB13" s="314">
        <f>AA13+Z13</f>
        <v>366434.35</v>
      </c>
      <c r="AC13" s="313">
        <v>15160</v>
      </c>
      <c r="AD13" s="323">
        <f>+G13+K13+O13+Y13+AB13+AC13+V13</f>
        <v>3014347.1500000004</v>
      </c>
      <c r="AE13" s="324">
        <v>2696869</v>
      </c>
      <c r="AF13" s="325"/>
      <c r="AG13" s="326">
        <f>AD13-AE13</f>
        <v>317478.15000000037</v>
      </c>
      <c r="AH13" s="327">
        <f>SUM(AG13/AE13)</f>
        <v>0.11772101277444338</v>
      </c>
      <c r="AI13" s="328">
        <f>+G13+K13+O13+Y13</f>
        <v>2543885.8000000003</v>
      </c>
      <c r="AK13" s="329"/>
    </row>
    <row r="14" spans="1:37" ht="15.75">
      <c r="A14" s="330"/>
      <c r="B14" s="331"/>
      <c r="C14" s="60"/>
      <c r="D14" s="332"/>
      <c r="E14" s="333"/>
      <c r="F14" s="333"/>
      <c r="G14" s="334"/>
      <c r="H14" s="311"/>
      <c r="I14" s="311"/>
      <c r="J14" s="335"/>
      <c r="K14" s="334"/>
      <c r="L14" s="332"/>
      <c r="M14" s="333"/>
      <c r="N14" s="311"/>
      <c r="O14" s="320"/>
      <c r="P14" s="336"/>
      <c r="Q14" s="336"/>
      <c r="R14" s="336"/>
      <c r="S14" s="336"/>
      <c r="T14" s="336"/>
      <c r="U14" s="337"/>
      <c r="V14" s="320"/>
      <c r="W14" s="332"/>
      <c r="X14" s="339"/>
      <c r="Y14" s="340"/>
      <c r="Z14" s="337"/>
      <c r="AA14" s="341"/>
      <c r="AB14" s="320"/>
      <c r="AC14" s="334"/>
      <c r="AD14" s="387"/>
      <c r="AE14" s="342"/>
      <c r="AF14" s="343"/>
      <c r="AG14" s="344"/>
      <c r="AH14" s="345"/>
      <c r="AI14" s="328"/>
      <c r="AK14" s="329"/>
    </row>
    <row r="15" spans="1:37" ht="16.5" thickBot="1">
      <c r="A15" s="346"/>
      <c r="B15" s="347" t="s">
        <v>11</v>
      </c>
      <c r="C15" s="63">
        <v>3.7121761286243692E-2</v>
      </c>
      <c r="D15" s="348">
        <v>889808</v>
      </c>
      <c r="E15" s="350">
        <v>0</v>
      </c>
      <c r="F15" s="350">
        <v>0</v>
      </c>
      <c r="G15" s="351">
        <f>SUM(D15:F15)</f>
        <v>889808</v>
      </c>
      <c r="H15" s="349">
        <v>1019934</v>
      </c>
      <c r="I15" s="349">
        <v>12281.12</v>
      </c>
      <c r="J15" s="352">
        <v>0</v>
      </c>
      <c r="K15" s="351">
        <f>SUM(H15:J15)</f>
        <v>1032215.12</v>
      </c>
      <c r="L15" s="348">
        <v>511286</v>
      </c>
      <c r="M15" s="350">
        <v>0</v>
      </c>
      <c r="N15" s="349"/>
      <c r="O15" s="353">
        <f>SUM(L15:N15)</f>
        <v>511286</v>
      </c>
      <c r="P15" s="354">
        <v>56727</v>
      </c>
      <c r="Q15" s="354">
        <v>20934</v>
      </c>
      <c r="R15" s="354">
        <v>0</v>
      </c>
      <c r="S15" s="354">
        <v>0</v>
      </c>
      <c r="T15" s="354">
        <v>809.38</v>
      </c>
      <c r="U15" s="355">
        <v>1387.71</v>
      </c>
      <c r="V15" s="353">
        <f>SUM(P15:U15)</f>
        <v>79858.090000000011</v>
      </c>
      <c r="W15" s="348">
        <v>326414</v>
      </c>
      <c r="X15" s="357">
        <v>24565.91</v>
      </c>
      <c r="Y15" s="358">
        <f>SUM(W15:X15)</f>
        <v>350979.91</v>
      </c>
      <c r="Z15" s="355">
        <v>16234.46</v>
      </c>
      <c r="AA15" s="359">
        <v>498024</v>
      </c>
      <c r="AB15" s="353">
        <f>AA15+Z15</f>
        <v>514258.46</v>
      </c>
      <c r="AC15" s="351">
        <v>20677</v>
      </c>
      <c r="AD15" s="403">
        <f>+G15+K15+O15+Y15+AB15+AC15+V15</f>
        <v>3399082.58</v>
      </c>
      <c r="AE15" s="360">
        <v>3184337</v>
      </c>
      <c r="AF15" s="361"/>
      <c r="AG15" s="362">
        <f>AD15-AE15</f>
        <v>214745.58000000007</v>
      </c>
      <c r="AH15" s="363">
        <f>SUM(AG15/AE15)</f>
        <v>6.7438082087417278E-2</v>
      </c>
      <c r="AI15" s="328">
        <f>+G15+K15+O15+Y15</f>
        <v>2784289.0300000003</v>
      </c>
      <c r="AK15" s="329"/>
    </row>
    <row r="16" spans="1:37" ht="15.75">
      <c r="A16" s="286"/>
      <c r="B16" s="287"/>
      <c r="C16" s="8"/>
      <c r="D16" s="364"/>
      <c r="E16" s="366"/>
      <c r="F16" s="366"/>
      <c r="G16" s="367"/>
      <c r="H16" s="368"/>
      <c r="I16" s="365"/>
      <c r="J16" s="364"/>
      <c r="K16" s="370"/>
      <c r="L16" s="365"/>
      <c r="M16" s="366"/>
      <c r="N16" s="365"/>
      <c r="O16" s="371"/>
      <c r="P16" s="372"/>
      <c r="Q16" s="372"/>
      <c r="R16" s="372"/>
      <c r="S16" s="372"/>
      <c r="T16" s="372"/>
      <c r="U16" s="372"/>
      <c r="V16" s="320"/>
      <c r="W16" s="374"/>
      <c r="X16" s="375"/>
      <c r="Y16" s="340"/>
      <c r="Z16" s="372"/>
      <c r="AA16" s="376"/>
      <c r="AB16" s="320"/>
      <c r="AC16" s="334"/>
      <c r="AD16" s="387"/>
      <c r="AE16" s="378"/>
      <c r="AF16" s="328"/>
      <c r="AG16" s="379"/>
      <c r="AH16" s="378"/>
      <c r="AI16" s="328"/>
      <c r="AK16" s="329"/>
    </row>
    <row r="17" spans="1:37" ht="16.5" thickBot="1">
      <c r="A17" s="286"/>
      <c r="B17" s="287" t="s">
        <v>13</v>
      </c>
      <c r="C17" s="51">
        <v>9.8324437897550354E-2</v>
      </c>
      <c r="D17" s="364">
        <v>2347189</v>
      </c>
      <c r="E17" s="413">
        <v>16885.47</v>
      </c>
      <c r="F17" s="317">
        <v>0</v>
      </c>
      <c r="G17" s="373">
        <f>SUM(D17:F17)</f>
        <v>2364074.4700000002</v>
      </c>
      <c r="H17" s="368">
        <v>2692243</v>
      </c>
      <c r="I17" s="349">
        <v>32777.800000000047</v>
      </c>
      <c r="J17" s="374">
        <v>0</v>
      </c>
      <c r="K17" s="371">
        <f>SUM(H17:J17)</f>
        <v>2725020.8</v>
      </c>
      <c r="L17" s="365">
        <v>1349364</v>
      </c>
      <c r="M17" s="317">
        <v>1505.4</v>
      </c>
      <c r="N17" s="365"/>
      <c r="O17" s="371">
        <f>SUM(L17:N17)</f>
        <v>1350869.4</v>
      </c>
      <c r="P17" s="372">
        <v>178782</v>
      </c>
      <c r="Q17" s="372">
        <v>65975</v>
      </c>
      <c r="R17" s="372">
        <v>0</v>
      </c>
      <c r="S17" s="372">
        <v>0</v>
      </c>
      <c r="T17" s="372">
        <v>13381.86</v>
      </c>
      <c r="U17" s="372">
        <v>338</v>
      </c>
      <c r="V17" s="353">
        <f>SUM(P17:U17)</f>
        <v>258476.86</v>
      </c>
      <c r="W17" s="374">
        <v>860907</v>
      </c>
      <c r="X17" s="380">
        <v>35316.129999999997</v>
      </c>
      <c r="Y17" s="381">
        <f>SUM(W17:X17)</f>
        <v>896223.13</v>
      </c>
      <c r="Z17" s="372">
        <v>0</v>
      </c>
      <c r="AA17" s="382">
        <v>938551</v>
      </c>
      <c r="AB17" s="353">
        <f>AA17+Z17</f>
        <v>938551</v>
      </c>
      <c r="AC17" s="351">
        <v>38968</v>
      </c>
      <c r="AD17" s="403">
        <f>+G17+K17+O17+Y17+AB17+AC17+V17</f>
        <v>8572183.6600000001</v>
      </c>
      <c r="AE17" s="360">
        <v>8066078</v>
      </c>
      <c r="AF17" s="328"/>
      <c r="AG17" s="379">
        <f>AD17-AE17</f>
        <v>506105.66000000015</v>
      </c>
      <c r="AH17" s="383">
        <f>SUM(AG17/AE17)</f>
        <v>6.2744949900062977E-2</v>
      </c>
      <c r="AI17" s="328">
        <f>+G17+K17+O17+Y17</f>
        <v>7336187.7999999998</v>
      </c>
      <c r="AK17" s="329"/>
    </row>
    <row r="18" spans="1:37" ht="15.75">
      <c r="A18" s="330"/>
      <c r="B18" s="331"/>
      <c r="C18" s="60"/>
      <c r="D18" s="332"/>
      <c r="E18" s="333"/>
      <c r="F18" s="333"/>
      <c r="G18" s="384"/>
      <c r="H18" s="338"/>
      <c r="I18" s="338"/>
      <c r="J18" s="338"/>
      <c r="K18" s="385"/>
      <c r="L18" s="311"/>
      <c r="M18" s="333"/>
      <c r="N18" s="311"/>
      <c r="O18" s="320"/>
      <c r="P18" s="386"/>
      <c r="Q18" s="386"/>
      <c r="R18" s="386"/>
      <c r="S18" s="386"/>
      <c r="T18" s="386"/>
      <c r="U18" s="386"/>
      <c r="V18" s="320"/>
      <c r="W18" s="335"/>
      <c r="X18" s="339"/>
      <c r="Y18" s="340"/>
      <c r="Z18" s="386"/>
      <c r="AA18" s="337"/>
      <c r="AB18" s="320"/>
      <c r="AC18" s="334"/>
      <c r="AD18" s="387"/>
      <c r="AE18" s="345"/>
      <c r="AF18" s="343"/>
      <c r="AG18" s="344"/>
      <c r="AH18" s="345"/>
      <c r="AI18" s="328"/>
      <c r="AK18" s="329"/>
    </row>
    <row r="19" spans="1:37" ht="16.5" thickBot="1">
      <c r="A19" s="346"/>
      <c r="B19" s="347" t="s">
        <v>14</v>
      </c>
      <c r="C19" s="63">
        <v>8.9671814178561599E-2</v>
      </c>
      <c r="D19" s="348">
        <v>2090158</v>
      </c>
      <c r="E19" s="420">
        <v>12966.37</v>
      </c>
      <c r="F19" s="350">
        <v>0</v>
      </c>
      <c r="G19" s="351">
        <f>SUM(D19:F19)</f>
        <v>2103124.37</v>
      </c>
      <c r="H19" s="356">
        <v>2406871</v>
      </c>
      <c r="I19" s="356">
        <v>0</v>
      </c>
      <c r="J19" s="349">
        <v>0</v>
      </c>
      <c r="K19" s="353">
        <f>SUM(H19:J19)</f>
        <v>2406871</v>
      </c>
      <c r="L19" s="349">
        <v>1205082</v>
      </c>
      <c r="M19" s="388">
        <v>0</v>
      </c>
      <c r="N19" s="349"/>
      <c r="O19" s="353">
        <f>SUM(L19:N19)</f>
        <v>1205082</v>
      </c>
      <c r="P19" s="389">
        <v>87492</v>
      </c>
      <c r="Q19" s="389">
        <v>32287</v>
      </c>
      <c r="R19" s="390">
        <v>0</v>
      </c>
      <c r="S19" s="389">
        <v>0</v>
      </c>
      <c r="T19" s="389">
        <v>0</v>
      </c>
      <c r="U19" s="389">
        <v>2740.76</v>
      </c>
      <c r="V19" s="353">
        <f>SUM(P19:U19)</f>
        <v>122519.76</v>
      </c>
      <c r="W19" s="352">
        <v>765957</v>
      </c>
      <c r="X19" s="357">
        <v>23807.41</v>
      </c>
      <c r="Y19" s="381">
        <f>SUM(W19:X19)</f>
        <v>789764.41</v>
      </c>
      <c r="Z19" s="389">
        <v>60298.43</v>
      </c>
      <c r="AA19" s="359">
        <v>757872</v>
      </c>
      <c r="AB19" s="353">
        <f>AA19+Z19</f>
        <v>818170.43</v>
      </c>
      <c r="AC19" s="351">
        <v>31466</v>
      </c>
      <c r="AD19" s="403">
        <f>+G19+K19+O19+Y19+AB19+AC19+V19</f>
        <v>7476997.9699999997</v>
      </c>
      <c r="AE19" s="360">
        <v>7104704</v>
      </c>
      <c r="AF19" s="361"/>
      <c r="AG19" s="362">
        <f>AD19-AE19</f>
        <v>372293.96999999974</v>
      </c>
      <c r="AH19" s="363">
        <f>SUM(AG19/AE19)</f>
        <v>5.2401052879894751E-2</v>
      </c>
      <c r="AI19" s="328">
        <f>+G19+K19+O19+Y19</f>
        <v>6504841.7800000003</v>
      </c>
      <c r="AK19" s="329"/>
    </row>
    <row r="20" spans="1:37" ht="15.75">
      <c r="A20" s="286"/>
      <c r="B20" s="287"/>
      <c r="C20" s="8"/>
      <c r="D20" s="364"/>
      <c r="E20" s="366"/>
      <c r="F20" s="366"/>
      <c r="G20" s="367"/>
      <c r="H20" s="368"/>
      <c r="I20" s="368"/>
      <c r="J20" s="311"/>
      <c r="K20" s="367"/>
      <c r="L20" s="365"/>
      <c r="M20" s="366"/>
      <c r="N20" s="365"/>
      <c r="O20" s="371"/>
      <c r="P20" s="372"/>
      <c r="Q20" s="372"/>
      <c r="R20" s="372"/>
      <c r="S20" s="372"/>
      <c r="T20" s="372"/>
      <c r="U20" s="372"/>
      <c r="V20" s="320"/>
      <c r="W20" s="374"/>
      <c r="X20" s="375"/>
      <c r="Y20" s="340"/>
      <c r="Z20" s="372"/>
      <c r="AA20" s="376"/>
      <c r="AB20" s="320"/>
      <c r="AC20" s="373"/>
      <c r="AD20" s="387"/>
      <c r="AE20" s="378"/>
      <c r="AF20" s="328"/>
      <c r="AG20" s="379"/>
      <c r="AH20" s="378"/>
      <c r="AI20" s="328"/>
      <c r="AK20" s="329"/>
    </row>
    <row r="21" spans="1:37" ht="16.5" thickBot="1">
      <c r="A21" s="286"/>
      <c r="B21" s="287" t="s">
        <v>15</v>
      </c>
      <c r="C21" s="51">
        <v>7.6649547301827714E-2</v>
      </c>
      <c r="D21" s="364">
        <v>1924142</v>
      </c>
      <c r="E21" s="414">
        <v>47835.81</v>
      </c>
      <c r="F21" s="317">
        <v>0</v>
      </c>
      <c r="G21" s="373">
        <f>SUM(D21:F21)</f>
        <v>1971977.81</v>
      </c>
      <c r="H21" s="368">
        <v>2189346</v>
      </c>
      <c r="I21" s="368">
        <v>0</v>
      </c>
      <c r="J21" s="349">
        <v>0</v>
      </c>
      <c r="K21" s="373">
        <f>SUM(H21:J21)</f>
        <v>2189346</v>
      </c>
      <c r="L21" s="365">
        <v>1099652</v>
      </c>
      <c r="M21" s="366">
        <v>0</v>
      </c>
      <c r="N21" s="365"/>
      <c r="O21" s="371">
        <f>SUM(L21:N21)</f>
        <v>1099652</v>
      </c>
      <c r="P21" s="372">
        <v>100314</v>
      </c>
      <c r="Q21" s="372">
        <v>37019</v>
      </c>
      <c r="R21" s="372">
        <v>0</v>
      </c>
      <c r="S21" s="372">
        <v>0</v>
      </c>
      <c r="T21" s="372">
        <v>0</v>
      </c>
      <c r="U21" s="372">
        <v>0</v>
      </c>
      <c r="V21" s="353">
        <f>SUM(P21:U21)</f>
        <v>137333</v>
      </c>
      <c r="W21" s="374">
        <v>707004</v>
      </c>
      <c r="X21" s="369">
        <v>5837.98</v>
      </c>
      <c r="Y21" s="381">
        <f>SUM(W21:X21)</f>
        <v>712841.98</v>
      </c>
      <c r="Z21" s="372">
        <v>91733.82</v>
      </c>
      <c r="AA21" s="382">
        <v>688795</v>
      </c>
      <c r="AB21" s="353">
        <f>AA21+Z21</f>
        <v>780528.82000000007</v>
      </c>
      <c r="AC21" s="351">
        <v>28598</v>
      </c>
      <c r="AD21" s="403">
        <f>+G21+K21+O21+Y21+AB21+AC21+V21</f>
        <v>6920277.6100000013</v>
      </c>
      <c r="AE21" s="360">
        <v>6534129</v>
      </c>
      <c r="AF21" s="328"/>
      <c r="AG21" s="379">
        <f>AD21-AE21</f>
        <v>386148.61000000127</v>
      </c>
      <c r="AH21" s="383">
        <f>SUM(AG21/AE21)</f>
        <v>5.909718188912421E-2</v>
      </c>
      <c r="AI21" s="328">
        <f>+G21+K21+O21+Y21</f>
        <v>5973817.790000001</v>
      </c>
      <c r="AK21" s="329"/>
    </row>
    <row r="22" spans="1:37" ht="15.75">
      <c r="A22" s="330"/>
      <c r="B22" s="331"/>
      <c r="C22" s="60"/>
      <c r="D22" s="332"/>
      <c r="E22" s="333"/>
      <c r="F22" s="333"/>
      <c r="G22" s="384"/>
      <c r="H22" s="338"/>
      <c r="I22" s="338"/>
      <c r="J22" s="368"/>
      <c r="K22" s="385"/>
      <c r="L22" s="311"/>
      <c r="M22" s="333"/>
      <c r="N22" s="311"/>
      <c r="O22" s="320"/>
      <c r="P22" s="386"/>
      <c r="Q22" s="386"/>
      <c r="R22" s="386"/>
      <c r="S22" s="386"/>
      <c r="T22" s="386"/>
      <c r="U22" s="386"/>
      <c r="V22" s="320"/>
      <c r="W22" s="335"/>
      <c r="X22" s="339"/>
      <c r="Y22" s="340"/>
      <c r="Z22" s="386"/>
      <c r="AA22" s="337"/>
      <c r="AB22" s="320"/>
      <c r="AC22" s="334"/>
      <c r="AD22" s="387"/>
      <c r="AE22" s="345"/>
      <c r="AF22" s="343"/>
      <c r="AG22" s="344"/>
      <c r="AH22" s="345"/>
      <c r="AI22" s="328"/>
      <c r="AK22" s="329"/>
    </row>
    <row r="23" spans="1:37" ht="16.5" thickBot="1">
      <c r="A23" s="346"/>
      <c r="B23" s="347" t="s">
        <v>17</v>
      </c>
      <c r="C23" s="63">
        <v>0.10848927972954844</v>
      </c>
      <c r="D23" s="348">
        <v>2680991</v>
      </c>
      <c r="E23" s="350">
        <v>0</v>
      </c>
      <c r="F23" s="350">
        <v>0</v>
      </c>
      <c r="G23" s="351">
        <f>SUM(D23:F23)</f>
        <v>2680991</v>
      </c>
      <c r="H23" s="356">
        <v>3058061</v>
      </c>
      <c r="I23" s="356">
        <v>59254.38</v>
      </c>
      <c r="J23" s="349">
        <v>0</v>
      </c>
      <c r="K23" s="353">
        <f>SUM(H23:J23)</f>
        <v>3117315.38</v>
      </c>
      <c r="L23" s="349">
        <v>1534975</v>
      </c>
      <c r="M23" s="388">
        <v>29108.11</v>
      </c>
      <c r="N23" s="349"/>
      <c r="O23" s="353">
        <f>SUM(L23:N23)</f>
        <v>1564083.11</v>
      </c>
      <c r="P23" s="389">
        <v>96413</v>
      </c>
      <c r="Q23" s="389">
        <v>35579</v>
      </c>
      <c r="R23" s="390">
        <v>12097.68</v>
      </c>
      <c r="S23" s="389">
        <v>0</v>
      </c>
      <c r="T23" s="389">
        <v>30685.13</v>
      </c>
      <c r="U23" s="389">
        <v>3177</v>
      </c>
      <c r="V23" s="353">
        <f>SUM(P23:U23)</f>
        <v>177951.81</v>
      </c>
      <c r="W23" s="352">
        <v>984560</v>
      </c>
      <c r="X23" s="357">
        <v>31162.04</v>
      </c>
      <c r="Y23" s="381">
        <f>SUM(W23:X23)</f>
        <v>1015722.04</v>
      </c>
      <c r="Z23" s="389">
        <v>86563.04</v>
      </c>
      <c r="AA23" s="359">
        <v>880822</v>
      </c>
      <c r="AB23" s="353">
        <f>AA23+Z23</f>
        <v>967385.04</v>
      </c>
      <c r="AC23" s="351">
        <v>36571</v>
      </c>
      <c r="AD23" s="403">
        <f>+G23+K23+O23+Y23+AB23+AC23+V23</f>
        <v>9560019.3800000008</v>
      </c>
      <c r="AE23" s="360">
        <v>9010050</v>
      </c>
      <c r="AF23" s="361"/>
      <c r="AG23" s="362">
        <f>AD23-AE23</f>
        <v>549969.38000000082</v>
      </c>
      <c r="AH23" s="363">
        <f>SUM(AG23/AE23)</f>
        <v>6.1039548060221729E-2</v>
      </c>
      <c r="AI23" s="328">
        <f>+G23+K23+O23+Y23-6000</f>
        <v>8372111.5300000003</v>
      </c>
      <c r="AK23" s="329"/>
    </row>
    <row r="24" spans="1:37" ht="15.75">
      <c r="A24" s="286"/>
      <c r="B24" s="287"/>
      <c r="C24" s="8"/>
      <c r="D24" s="364"/>
      <c r="E24" s="366"/>
      <c r="F24" s="366"/>
      <c r="G24" s="367"/>
      <c r="H24" s="368"/>
      <c r="I24" s="368"/>
      <c r="J24" s="368"/>
      <c r="K24" s="370"/>
      <c r="L24" s="365"/>
      <c r="M24" s="366"/>
      <c r="N24" s="365"/>
      <c r="O24" s="371"/>
      <c r="P24" s="372"/>
      <c r="Q24" s="372"/>
      <c r="R24" s="372"/>
      <c r="S24" s="372"/>
      <c r="T24" s="372"/>
      <c r="U24" s="372"/>
      <c r="V24" s="320"/>
      <c r="W24" s="374"/>
      <c r="X24" s="375"/>
      <c r="Y24" s="340"/>
      <c r="Z24" s="372"/>
      <c r="AA24" s="376"/>
      <c r="AB24" s="320"/>
      <c r="AC24" s="373"/>
      <c r="AD24" s="387"/>
      <c r="AE24" s="378"/>
      <c r="AF24" s="328"/>
      <c r="AG24" s="379"/>
      <c r="AH24" s="378"/>
      <c r="AI24" s="328"/>
      <c r="AK24" s="329"/>
    </row>
    <row r="25" spans="1:37" ht="16.5" thickBot="1">
      <c r="A25" s="286"/>
      <c r="B25" s="287" t="s">
        <v>21</v>
      </c>
      <c r="C25" s="51">
        <v>9.3068437903642845E-2</v>
      </c>
      <c r="D25" s="364">
        <v>1995275</v>
      </c>
      <c r="E25" s="415">
        <v>22517.31</v>
      </c>
      <c r="F25" s="317">
        <v>0</v>
      </c>
      <c r="G25" s="373">
        <f>SUM(D25:F25)</f>
        <v>2017792.31</v>
      </c>
      <c r="H25" s="368">
        <v>2330967</v>
      </c>
      <c r="I25" s="368">
        <v>6269.36</v>
      </c>
      <c r="J25" s="365">
        <v>0</v>
      </c>
      <c r="K25" s="371">
        <f>SUM(H25:J25)</f>
        <v>2337236.36</v>
      </c>
      <c r="L25" s="365">
        <v>1162672</v>
      </c>
      <c r="M25" s="366">
        <v>0</v>
      </c>
      <c r="N25" s="365"/>
      <c r="O25" s="371">
        <f>SUM(L25:N25)</f>
        <v>1162672</v>
      </c>
      <c r="P25" s="372">
        <v>133137</v>
      </c>
      <c r="Q25" s="372">
        <v>49131</v>
      </c>
      <c r="R25" s="372">
        <v>0</v>
      </c>
      <c r="S25" s="372">
        <v>0</v>
      </c>
      <c r="T25" s="372">
        <v>10727.17</v>
      </c>
      <c r="U25" s="372">
        <v>14787.23</v>
      </c>
      <c r="V25" s="353">
        <f>SUM(P25:U25)</f>
        <v>207782.40000000002</v>
      </c>
      <c r="W25" s="374">
        <v>728800</v>
      </c>
      <c r="X25" s="380">
        <v>1687.38</v>
      </c>
      <c r="Y25" s="381">
        <f>SUM(W25:X25)</f>
        <v>730487.38</v>
      </c>
      <c r="Z25" s="372">
        <v>118700.33</v>
      </c>
      <c r="AA25" s="382">
        <v>681772</v>
      </c>
      <c r="AB25" s="353">
        <f>AA25+Z25</f>
        <v>800472.33</v>
      </c>
      <c r="AC25" s="351">
        <v>28307</v>
      </c>
      <c r="AD25" s="403">
        <f>+G25+K25+O25+Y25+AB25+AC25+V25</f>
        <v>7284749.7800000003</v>
      </c>
      <c r="AE25" s="360">
        <v>6791720</v>
      </c>
      <c r="AF25" s="328"/>
      <c r="AG25" s="379">
        <f>AD25-AE25</f>
        <v>493029.78000000026</v>
      </c>
      <c r="AH25" s="383">
        <f>SUM(AG25/AE25)</f>
        <v>7.2592771786822816E-2</v>
      </c>
      <c r="AI25" s="328">
        <f>+G25+K25+O25+Y25</f>
        <v>6248188.0499999998</v>
      </c>
      <c r="AK25" s="329"/>
    </row>
    <row r="26" spans="1:37" ht="15.75">
      <c r="A26" s="330"/>
      <c r="B26" s="331"/>
      <c r="C26" s="60"/>
      <c r="D26" s="332"/>
      <c r="E26" s="333"/>
      <c r="F26" s="333"/>
      <c r="G26" s="384"/>
      <c r="H26" s="338"/>
      <c r="I26" s="338"/>
      <c r="J26" s="338"/>
      <c r="K26" s="385"/>
      <c r="L26" s="311"/>
      <c r="M26" s="333"/>
      <c r="N26" s="311"/>
      <c r="O26" s="320"/>
      <c r="P26" s="386"/>
      <c r="Q26" s="386"/>
      <c r="R26" s="386"/>
      <c r="S26" s="386"/>
      <c r="T26" s="386"/>
      <c r="U26" s="386"/>
      <c r="V26" s="320"/>
      <c r="W26" s="335"/>
      <c r="X26" s="391"/>
      <c r="Y26" s="340"/>
      <c r="Z26" s="386"/>
      <c r="AA26" s="337"/>
      <c r="AB26" s="320"/>
      <c r="AC26" s="334"/>
      <c r="AD26" s="387"/>
      <c r="AE26" s="345"/>
      <c r="AF26" s="343"/>
      <c r="AG26" s="344"/>
      <c r="AH26" s="345"/>
      <c r="AI26" s="328"/>
      <c r="AK26" s="329"/>
    </row>
    <row r="27" spans="1:37" ht="16.5" thickBot="1">
      <c r="A27" s="346"/>
      <c r="B27" s="347" t="s">
        <v>23</v>
      </c>
      <c r="C27" s="63">
        <v>8.9932282645722977E-2</v>
      </c>
      <c r="D27" s="348">
        <v>2041130</v>
      </c>
      <c r="E27" s="388">
        <v>0</v>
      </c>
      <c r="F27" s="388">
        <v>0</v>
      </c>
      <c r="G27" s="351">
        <f>SUM(D27:F27)</f>
        <v>2041130</v>
      </c>
      <c r="H27" s="356">
        <v>2360973</v>
      </c>
      <c r="I27" s="356">
        <v>0</v>
      </c>
      <c r="J27" s="349">
        <v>0</v>
      </c>
      <c r="K27" s="353">
        <f>SUM(H27:J27)</f>
        <v>2360973</v>
      </c>
      <c r="L27" s="349">
        <v>1180707</v>
      </c>
      <c r="M27" s="388">
        <v>73534.69</v>
      </c>
      <c r="N27" s="349"/>
      <c r="O27" s="353">
        <f>SUM(L27:N27)</f>
        <v>1254241.69</v>
      </c>
      <c r="P27" s="389">
        <v>63368</v>
      </c>
      <c r="Q27" s="389">
        <v>23384</v>
      </c>
      <c r="R27" s="390">
        <v>0</v>
      </c>
      <c r="S27" s="389">
        <v>0</v>
      </c>
      <c r="T27" s="389">
        <v>0</v>
      </c>
      <c r="U27" s="389">
        <v>0</v>
      </c>
      <c r="V27" s="353">
        <f>SUM(P27:U27)</f>
        <v>86752</v>
      </c>
      <c r="W27" s="352">
        <v>747235</v>
      </c>
      <c r="X27" s="392">
        <v>0</v>
      </c>
      <c r="Y27" s="381">
        <f>SUM(W27:X27)</f>
        <v>747235</v>
      </c>
      <c r="Z27" s="389">
        <v>0</v>
      </c>
      <c r="AA27" s="359">
        <v>793348</v>
      </c>
      <c r="AB27" s="353">
        <f>AA27+Z27</f>
        <v>793348</v>
      </c>
      <c r="AC27" s="351">
        <v>32939</v>
      </c>
      <c r="AD27" s="403">
        <f>+G27+K27+O27+Y27+AB27+AC27+V27</f>
        <v>7316618.6899999995</v>
      </c>
      <c r="AE27" s="360">
        <v>7038801</v>
      </c>
      <c r="AF27" s="361"/>
      <c r="AG27" s="362">
        <f>AD27-AE27</f>
        <v>277817.68999999948</v>
      </c>
      <c r="AH27" s="363">
        <f>SUM(AG27/AE27)</f>
        <v>3.946946219959898E-2</v>
      </c>
      <c r="AI27" s="328">
        <f>+G27+K27+O27+Y27</f>
        <v>6403579.6899999995</v>
      </c>
      <c r="AK27" s="329"/>
    </row>
    <row r="28" spans="1:37" ht="15.75">
      <c r="A28" s="286"/>
      <c r="B28" s="287"/>
      <c r="C28" s="8"/>
      <c r="D28" s="364"/>
      <c r="E28" s="366"/>
      <c r="F28" s="366"/>
      <c r="G28" s="367"/>
      <c r="H28" s="368"/>
      <c r="I28" s="368"/>
      <c r="J28" s="368"/>
      <c r="K28" s="370"/>
      <c r="L28" s="365"/>
      <c r="M28" s="366"/>
      <c r="N28" s="365"/>
      <c r="O28" s="371"/>
      <c r="P28" s="372"/>
      <c r="Q28" s="372"/>
      <c r="R28" s="372"/>
      <c r="S28" s="372"/>
      <c r="T28" s="372"/>
      <c r="U28" s="372"/>
      <c r="V28" s="320"/>
      <c r="W28" s="374"/>
      <c r="X28" s="375"/>
      <c r="Y28" s="340"/>
      <c r="Z28" s="372"/>
      <c r="AA28" s="376"/>
      <c r="AB28" s="320"/>
      <c r="AC28" s="373"/>
      <c r="AD28" s="387"/>
      <c r="AE28" s="378"/>
      <c r="AF28" s="328"/>
      <c r="AG28" s="379"/>
      <c r="AH28" s="378"/>
      <c r="AI28" s="328"/>
      <c r="AK28" s="329"/>
    </row>
    <row r="29" spans="1:37" ht="16.5" thickBot="1">
      <c r="A29" s="286"/>
      <c r="B29" s="287" t="s">
        <v>24</v>
      </c>
      <c r="C29" s="51">
        <v>0.10284287667948488</v>
      </c>
      <c r="D29" s="364">
        <v>2445241</v>
      </c>
      <c r="E29" s="416">
        <v>639</v>
      </c>
      <c r="F29" s="317">
        <v>0</v>
      </c>
      <c r="G29" s="373">
        <f>SUM(D29:F29)</f>
        <v>2445880</v>
      </c>
      <c r="H29" s="368">
        <v>2806545</v>
      </c>
      <c r="I29" s="368">
        <v>0</v>
      </c>
      <c r="J29" s="365">
        <v>0</v>
      </c>
      <c r="K29" s="371">
        <f>SUM(H29:J29)</f>
        <v>2806545</v>
      </c>
      <c r="L29" s="365">
        <v>1406409</v>
      </c>
      <c r="M29" s="317">
        <v>0</v>
      </c>
      <c r="N29" s="365"/>
      <c r="O29" s="371">
        <f>SUM(L29:N29)</f>
        <v>1406409</v>
      </c>
      <c r="P29" s="372">
        <v>71986</v>
      </c>
      <c r="Q29" s="372">
        <v>26565</v>
      </c>
      <c r="R29" s="372">
        <v>0</v>
      </c>
      <c r="S29" s="372">
        <v>0</v>
      </c>
      <c r="T29" s="372">
        <v>0</v>
      </c>
      <c r="U29" s="372">
        <v>0</v>
      </c>
      <c r="V29" s="353">
        <f>SUM(P29:U29)</f>
        <v>98551</v>
      </c>
      <c r="W29" s="374">
        <v>896739</v>
      </c>
      <c r="X29" s="369">
        <v>33759.360000000001</v>
      </c>
      <c r="Y29" s="381">
        <f>SUM(W29:X29)</f>
        <v>930498.36</v>
      </c>
      <c r="Z29" s="372">
        <v>0</v>
      </c>
      <c r="AA29" s="382">
        <v>840917</v>
      </c>
      <c r="AB29" s="353">
        <f>AA29+Z29</f>
        <v>840917</v>
      </c>
      <c r="AC29" s="351">
        <v>34914</v>
      </c>
      <c r="AD29" s="403">
        <f>+G29+K29+O29+Y29+AB29+AC29+V29</f>
        <v>8563714.3599999994</v>
      </c>
      <c r="AE29" s="360">
        <v>8295091</v>
      </c>
      <c r="AF29" s="328"/>
      <c r="AG29" s="379">
        <f>AD29-AE29</f>
        <v>268623.3599999994</v>
      </c>
      <c r="AH29" s="383">
        <f>SUM(AG29/AE29)</f>
        <v>3.2383413274188241E-2</v>
      </c>
      <c r="AI29" s="328">
        <f>+G29+K29+O29+Y29</f>
        <v>7589332.3600000003</v>
      </c>
      <c r="AK29" s="329"/>
    </row>
    <row r="30" spans="1:37" ht="15.75">
      <c r="A30" s="330"/>
      <c r="B30" s="331"/>
      <c r="C30" s="60"/>
      <c r="D30" s="332"/>
      <c r="E30" s="333"/>
      <c r="F30" s="333"/>
      <c r="G30" s="384"/>
      <c r="H30" s="338"/>
      <c r="I30" s="338"/>
      <c r="J30" s="338"/>
      <c r="K30" s="385"/>
      <c r="L30" s="311"/>
      <c r="M30" s="333"/>
      <c r="N30" s="311"/>
      <c r="O30" s="320"/>
      <c r="P30" s="386"/>
      <c r="Q30" s="386"/>
      <c r="R30" s="386"/>
      <c r="S30" s="386"/>
      <c r="T30" s="386"/>
      <c r="U30" s="386"/>
      <c r="V30" s="320"/>
      <c r="W30" s="335"/>
      <c r="X30" s="391"/>
      <c r="Y30" s="340"/>
      <c r="Z30" s="386"/>
      <c r="AA30" s="337"/>
      <c r="AB30" s="320"/>
      <c r="AC30" s="334"/>
      <c r="AD30" s="387"/>
      <c r="AE30" s="345"/>
      <c r="AF30" s="343"/>
      <c r="AG30" s="344"/>
      <c r="AH30" s="345"/>
      <c r="AI30" s="328"/>
      <c r="AK30" s="329"/>
    </row>
    <row r="31" spans="1:37" ht="16.5" thickBot="1">
      <c r="A31" s="346"/>
      <c r="B31" s="347" t="s">
        <v>9</v>
      </c>
      <c r="C31" s="63">
        <v>8.2796725506703181E-2</v>
      </c>
      <c r="D31" s="348">
        <v>2017200</v>
      </c>
      <c r="E31" s="417">
        <v>562884.75999999978</v>
      </c>
      <c r="F31" s="350">
        <v>0</v>
      </c>
      <c r="G31" s="351">
        <f>SUM(D31:F31)</f>
        <v>2580084.7599999998</v>
      </c>
      <c r="H31" s="356">
        <v>2306130</v>
      </c>
      <c r="I31" s="356">
        <v>132116.89000000001</v>
      </c>
      <c r="J31" s="349">
        <v>0</v>
      </c>
      <c r="K31" s="353">
        <f>SUM(H31:J31)</f>
        <v>2438246.89</v>
      </c>
      <c r="L31" s="349">
        <v>1156851</v>
      </c>
      <c r="M31" s="317">
        <v>371603.09</v>
      </c>
      <c r="N31" s="349"/>
      <c r="O31" s="353">
        <f>SUM(L31:N31)</f>
        <v>1528454.09</v>
      </c>
      <c r="P31" s="389">
        <v>82572</v>
      </c>
      <c r="Q31" s="389">
        <v>30471</v>
      </c>
      <c r="R31" s="390">
        <v>0</v>
      </c>
      <c r="S31" s="389">
        <v>0</v>
      </c>
      <c r="T31" s="389">
        <v>0.28999999999999998</v>
      </c>
      <c r="U31" s="389">
        <v>960.79</v>
      </c>
      <c r="V31" s="353">
        <f>SUM(P31:U31)</f>
        <v>114004.07999999999</v>
      </c>
      <c r="W31" s="352">
        <v>740417</v>
      </c>
      <c r="X31" s="380">
        <v>176071.13</v>
      </c>
      <c r="Y31" s="381">
        <f>SUM(W31:X31)</f>
        <v>916488.13</v>
      </c>
      <c r="Z31" s="389">
        <v>1305.55</v>
      </c>
      <c r="AA31" s="359">
        <v>666664</v>
      </c>
      <c r="AB31" s="353">
        <f>AA31+Z31</f>
        <v>667969.55000000005</v>
      </c>
      <c r="AC31" s="351">
        <v>27679</v>
      </c>
      <c r="AD31" s="403">
        <f>+G31+K31+O31+Y31+AB31+AC31+V31</f>
        <v>8272926.5</v>
      </c>
      <c r="AE31" s="360">
        <v>6811840</v>
      </c>
      <c r="AF31" s="361"/>
      <c r="AG31" s="362">
        <f>AD31-AE31</f>
        <v>1461086.5</v>
      </c>
      <c r="AH31" s="363">
        <f>SUM(AG31/AE31)</f>
        <v>0.21449219300512049</v>
      </c>
      <c r="AI31" s="328">
        <f>+G31+K31+O31+Y31</f>
        <v>7463273.8700000001</v>
      </c>
      <c r="AK31" s="329"/>
    </row>
    <row r="32" spans="1:37" ht="15.75">
      <c r="A32" s="330"/>
      <c r="B32" s="331"/>
      <c r="C32" s="60"/>
      <c r="D32" s="332"/>
      <c r="E32" s="333"/>
      <c r="F32" s="333"/>
      <c r="G32" s="384"/>
      <c r="H32" s="338"/>
      <c r="I32" s="338"/>
      <c r="J32" s="338"/>
      <c r="K32" s="385"/>
      <c r="L32" s="311"/>
      <c r="M32" s="333"/>
      <c r="N32" s="311"/>
      <c r="O32" s="320"/>
      <c r="P32" s="386"/>
      <c r="Q32" s="386"/>
      <c r="R32" s="386"/>
      <c r="S32" s="386"/>
      <c r="T32" s="386"/>
      <c r="U32" s="386"/>
      <c r="V32" s="320"/>
      <c r="W32" s="335"/>
      <c r="X32" s="391"/>
      <c r="Y32" s="340"/>
      <c r="Z32" s="386"/>
      <c r="AA32" s="337"/>
      <c r="AB32" s="320"/>
      <c r="AC32" s="334"/>
      <c r="AD32" s="387"/>
      <c r="AE32" s="345"/>
      <c r="AF32" s="343"/>
      <c r="AG32" s="344"/>
      <c r="AH32" s="345"/>
      <c r="AI32" s="328"/>
      <c r="AK32" s="329"/>
    </row>
    <row r="33" spans="1:38" ht="16.5" thickBot="1">
      <c r="A33" s="346"/>
      <c r="B33" s="347" t="s">
        <v>10</v>
      </c>
      <c r="C33" s="63">
        <v>0.1900825369119773</v>
      </c>
      <c r="D33" s="418">
        <v>4656455</v>
      </c>
      <c r="E33" s="348">
        <v>217769.47</v>
      </c>
      <c r="F33" s="350">
        <v>0</v>
      </c>
      <c r="G33" s="351">
        <f>SUM(D33:F33)</f>
        <v>4874224.47</v>
      </c>
      <c r="H33" s="356">
        <v>5318757</v>
      </c>
      <c r="I33" s="356">
        <v>17097.23</v>
      </c>
      <c r="J33" s="349">
        <v>0</v>
      </c>
      <c r="K33" s="353">
        <f>SUM(H33:J33)</f>
        <v>5335854.2300000004</v>
      </c>
      <c r="L33" s="349">
        <v>2668730</v>
      </c>
      <c r="M33" s="350">
        <v>21584.69</v>
      </c>
      <c r="N33" s="349"/>
      <c r="O33" s="353">
        <f>SUM(L33:N33)</f>
        <v>2690314.69</v>
      </c>
      <c r="P33" s="389">
        <v>168364</v>
      </c>
      <c r="Q33" s="389">
        <v>62132</v>
      </c>
      <c r="R33" s="389">
        <v>0</v>
      </c>
      <c r="S33" s="389">
        <v>3101.34</v>
      </c>
      <c r="T33" s="389">
        <v>6003.03</v>
      </c>
      <c r="U33" s="389">
        <v>30391.72</v>
      </c>
      <c r="V33" s="353">
        <f>SUM(P33:U33)</f>
        <v>269992.08999999997</v>
      </c>
      <c r="W33" s="352">
        <v>1709494</v>
      </c>
      <c r="X33" s="392">
        <v>19080.39</v>
      </c>
      <c r="Y33" s="381">
        <f>SUM(W33:X33)</f>
        <v>1728574.39</v>
      </c>
      <c r="Z33" s="389">
        <v>0</v>
      </c>
      <c r="AA33" s="359">
        <v>1245661</v>
      </c>
      <c r="AB33" s="353">
        <f>AA33+Z33</f>
        <v>1245661</v>
      </c>
      <c r="AC33" s="351">
        <v>51719</v>
      </c>
      <c r="AD33" s="403">
        <f>+G33+K33+O33+Y33+AB33+AC33+V33</f>
        <v>16196339.869999999</v>
      </c>
      <c r="AE33" s="360">
        <v>15325037</v>
      </c>
      <c r="AF33" s="361"/>
      <c r="AG33" s="362">
        <f>AD33-AE33</f>
        <v>871302.86999999918</v>
      </c>
      <c r="AH33" s="363">
        <f>SUM(AG33/AE33)</f>
        <v>5.6854862405878642E-2</v>
      </c>
      <c r="AI33" s="328">
        <f>+G33+K33+O33+Y33</f>
        <v>14628967.779999999</v>
      </c>
      <c r="AK33" s="329"/>
    </row>
    <row r="34" spans="1:38" ht="15.75">
      <c r="A34" s="286"/>
      <c r="B34" s="287"/>
      <c r="C34" s="8"/>
      <c r="D34" s="364"/>
      <c r="E34" s="366"/>
      <c r="F34" s="366"/>
      <c r="G34" s="367"/>
      <c r="H34" s="311"/>
      <c r="I34" s="364"/>
      <c r="J34" s="311"/>
      <c r="K34" s="370"/>
      <c r="L34" s="365"/>
      <c r="M34" s="366"/>
      <c r="N34" s="365"/>
      <c r="O34" s="371"/>
      <c r="P34" s="393"/>
      <c r="Q34" s="393"/>
      <c r="R34" s="393"/>
      <c r="S34" s="393"/>
      <c r="T34" s="393"/>
      <c r="U34" s="393"/>
      <c r="V34" s="373"/>
      <c r="W34" s="374"/>
      <c r="X34" s="375"/>
      <c r="Y34" s="358"/>
      <c r="Z34" s="393"/>
      <c r="AA34" s="394"/>
      <c r="AB34" s="371"/>
      <c r="AC34" s="373"/>
      <c r="AD34" s="377"/>
      <c r="AE34" s="378"/>
      <c r="AF34" s="328"/>
      <c r="AG34" s="379"/>
      <c r="AH34" s="378"/>
      <c r="AI34" s="328"/>
      <c r="AK34" s="329"/>
    </row>
    <row r="35" spans="1:38" ht="15.75">
      <c r="A35" s="286"/>
      <c r="B35" s="287" t="s">
        <v>74</v>
      </c>
      <c r="C35" s="51">
        <f t="shared" ref="C35" si="0">SUM(C13:C33)</f>
        <v>0.99999999999999989</v>
      </c>
      <c r="D35" s="364">
        <f>SUM(D13:D33)</f>
        <v>23857516</v>
      </c>
      <c r="E35" s="366">
        <f t="shared" ref="E35:Z35" si="1">SUM(E13:E33)</f>
        <v>964189.06999999972</v>
      </c>
      <c r="F35" s="366">
        <f t="shared" si="1"/>
        <v>0</v>
      </c>
      <c r="G35" s="367">
        <f>SUM(G13:G33)</f>
        <v>24821705.07</v>
      </c>
      <c r="H35" s="365">
        <f>SUM(H13:H33)</f>
        <v>27367433</v>
      </c>
      <c r="I35" s="364">
        <f>SUM(I13:I33)</f>
        <v>268306.69000000006</v>
      </c>
      <c r="J35" s="366">
        <f t="shared" si="1"/>
        <v>0</v>
      </c>
      <c r="K35" s="370">
        <f t="shared" si="1"/>
        <v>27635739.690000001</v>
      </c>
      <c r="L35" s="368">
        <v>13716318</v>
      </c>
      <c r="M35" s="369">
        <f t="shared" si="1"/>
        <v>499426.51000000007</v>
      </c>
      <c r="N35" s="369">
        <f t="shared" si="1"/>
        <v>0</v>
      </c>
      <c r="O35" s="371">
        <f t="shared" si="1"/>
        <v>14215744.51</v>
      </c>
      <c r="P35" s="368">
        <f t="shared" si="1"/>
        <v>1104068</v>
      </c>
      <c r="Q35" s="368">
        <f t="shared" si="1"/>
        <v>407431</v>
      </c>
      <c r="R35" s="368">
        <f>SUM(R13:R33)</f>
        <v>12097.68</v>
      </c>
      <c r="S35" s="368">
        <f>SUM(S13:S33)</f>
        <v>3101.34</v>
      </c>
      <c r="T35" s="368">
        <f>SUM(T13:T33)</f>
        <v>61606.86</v>
      </c>
      <c r="U35" s="368">
        <f>SUM(U13:U33)</f>
        <v>53783.210000000006</v>
      </c>
      <c r="V35" s="371">
        <f t="shared" si="1"/>
        <v>1642088.0899999999</v>
      </c>
      <c r="W35" s="368">
        <f>SUM(W13:W33)</f>
        <v>8750316</v>
      </c>
      <c r="X35" s="368">
        <f t="shared" si="1"/>
        <v>430970.21</v>
      </c>
      <c r="Y35" s="358">
        <f t="shared" si="1"/>
        <v>9181286.2100000009</v>
      </c>
      <c r="Z35" s="374">
        <f t="shared" si="1"/>
        <v>376130.98</v>
      </c>
      <c r="AA35" s="368">
        <v>8202316</v>
      </c>
      <c r="AB35" s="371">
        <f>AA35+Z35</f>
        <v>8578446.9800000004</v>
      </c>
      <c r="AC35" s="373">
        <f>SUM(AC13:AC33)</f>
        <v>346998</v>
      </c>
      <c r="AD35" s="377">
        <f>SUM(AD13:AD33)</f>
        <v>86577257.550000012</v>
      </c>
      <c r="AE35" s="378">
        <v>80858656</v>
      </c>
      <c r="AF35" s="328"/>
      <c r="AG35" s="379">
        <f>SUM(AG13:AG33)</f>
        <v>5718601.5500000007</v>
      </c>
      <c r="AH35" s="383">
        <f>SUM(AG35/AE35)</f>
        <v>7.0723430649156482E-2</v>
      </c>
      <c r="AI35" s="329">
        <f>SUM(AI13:AI33)</f>
        <v>75848475.479999989</v>
      </c>
      <c r="AJ35" s="328"/>
      <c r="AK35" s="329"/>
      <c r="AL35" s="328"/>
    </row>
    <row r="36" spans="1:38" ht="16.5" thickBot="1">
      <c r="A36" s="346"/>
      <c r="B36" s="347"/>
      <c r="C36" s="395"/>
      <c r="D36" s="348"/>
      <c r="E36" s="392"/>
      <c r="F36" s="388"/>
      <c r="G36" s="396"/>
      <c r="H36" s="349"/>
      <c r="I36" s="348"/>
      <c r="J36" s="397"/>
      <c r="K36" s="398"/>
      <c r="L36" s="349"/>
      <c r="M36" s="388"/>
      <c r="N36" s="349"/>
      <c r="O36" s="353"/>
      <c r="P36" s="399"/>
      <c r="Q36" s="399"/>
      <c r="R36" s="399"/>
      <c r="S36" s="399"/>
      <c r="T36" s="399"/>
      <c r="U36" s="399"/>
      <c r="V36" s="353"/>
      <c r="W36" s="352"/>
      <c r="X36" s="400"/>
      <c r="Y36" s="381"/>
      <c r="Z36" s="401"/>
      <c r="AA36" s="402"/>
      <c r="AB36" s="353"/>
      <c r="AC36" s="351"/>
      <c r="AD36" s="403"/>
      <c r="AE36" s="404"/>
      <c r="AF36" s="361"/>
      <c r="AG36" s="362"/>
      <c r="AH36" s="404"/>
      <c r="AK36" s="329"/>
    </row>
    <row r="37" spans="1:38">
      <c r="D37" s="328"/>
      <c r="E37" s="328"/>
      <c r="F37" s="328"/>
      <c r="G37" s="328"/>
      <c r="J37" s="405"/>
      <c r="AC37" s="328"/>
      <c r="AH37" s="279"/>
      <c r="AK37" s="329"/>
    </row>
    <row r="38" spans="1:38">
      <c r="D38" s="328"/>
      <c r="E38" s="328"/>
      <c r="F38" s="328"/>
      <c r="G38" s="328"/>
      <c r="J38" s="406"/>
      <c r="AC38" s="328"/>
    </row>
    <row r="39" spans="1:38" ht="12.75" customHeight="1">
      <c r="D39" s="328"/>
      <c r="E39" s="328"/>
      <c r="F39" s="328"/>
      <c r="G39" s="328"/>
      <c r="J39" s="405"/>
    </row>
    <row r="40" spans="1:38">
      <c r="D40" s="328"/>
      <c r="E40" s="328"/>
      <c r="F40" s="328"/>
      <c r="G40" s="328"/>
      <c r="J40" s="406"/>
      <c r="AD40" s="407"/>
    </row>
    <row r="41" spans="1:38">
      <c r="J41" s="405"/>
    </row>
    <row r="42" spans="1:38">
      <c r="D42" s="328"/>
      <c r="E42" s="328"/>
      <c r="F42" s="328"/>
      <c r="G42" s="328"/>
      <c r="J42" s="406"/>
      <c r="AD42" s="408"/>
    </row>
    <row r="43" spans="1:38">
      <c r="J43" s="405"/>
      <c r="AD43" s="407"/>
    </row>
    <row r="44" spans="1:38">
      <c r="J44" s="406"/>
    </row>
    <row r="45" spans="1:38">
      <c r="J45" s="405"/>
    </row>
    <row r="46" spans="1:38">
      <c r="H46" s="279" t="s">
        <v>2</v>
      </c>
      <c r="J46" s="406"/>
    </row>
    <row r="47" spans="1:38">
      <c r="J47" s="405"/>
    </row>
    <row r="48" spans="1:38">
      <c r="J48" s="406"/>
    </row>
    <row r="49" spans="3:28">
      <c r="J49" s="405" t="e">
        <f>I49+#REF!</f>
        <v>#REF!</v>
      </c>
    </row>
    <row r="50" spans="3:28">
      <c r="J50" s="406"/>
    </row>
    <row r="51" spans="3:28">
      <c r="J51" s="405" t="e">
        <f>I51+#REF!</f>
        <v>#REF!</v>
      </c>
    </row>
    <row r="52" spans="3:28">
      <c r="J52" s="406"/>
    </row>
    <row r="53" spans="3:28">
      <c r="J53" s="405" t="e">
        <f>I53+#REF!</f>
        <v>#REF!</v>
      </c>
    </row>
    <row r="54" spans="3:28">
      <c r="J54" s="409"/>
    </row>
    <row r="55" spans="3:28">
      <c r="J55" s="405" t="e">
        <f>I55+#REF!</f>
        <v>#REF!</v>
      </c>
    </row>
    <row r="61" spans="3:28">
      <c r="C61" s="328"/>
      <c r="H61" s="328"/>
      <c r="I61" s="328"/>
      <c r="J61" s="328"/>
      <c r="K61" s="328"/>
      <c r="L61" s="328"/>
      <c r="M61" s="328"/>
      <c r="N61" s="328"/>
      <c r="O61" s="328"/>
      <c r="P61" s="410"/>
      <c r="Q61" s="410"/>
      <c r="R61" s="410"/>
      <c r="S61" s="328"/>
      <c r="T61" s="328"/>
      <c r="U61" s="328"/>
      <c r="V61" s="328"/>
      <c r="W61" s="328"/>
      <c r="X61" s="328"/>
      <c r="Y61" s="328"/>
      <c r="Z61" s="410"/>
      <c r="AA61" s="410"/>
      <c r="AB61" s="328"/>
    </row>
    <row r="62" spans="3:28">
      <c r="C62" s="328"/>
    </row>
    <row r="63" spans="3:28">
      <c r="C63" s="328"/>
      <c r="H63" s="328"/>
      <c r="I63" s="328"/>
      <c r="J63" s="328"/>
      <c r="K63" s="328"/>
      <c r="L63" s="328"/>
      <c r="M63" s="328"/>
      <c r="N63" s="328"/>
      <c r="O63" s="328"/>
      <c r="P63" s="410"/>
      <c r="Q63" s="410"/>
      <c r="R63" s="410"/>
      <c r="S63" s="328"/>
      <c r="T63" s="328"/>
      <c r="U63" s="328"/>
      <c r="V63" s="328"/>
      <c r="W63" s="328"/>
      <c r="X63" s="328"/>
      <c r="Y63" s="328"/>
      <c r="Z63" s="410"/>
      <c r="AA63" s="410"/>
      <c r="AB63" s="328"/>
    </row>
    <row r="64" spans="3:28">
      <c r="C64" s="328"/>
    </row>
    <row r="65" spans="3:28">
      <c r="C65" s="328"/>
      <c r="H65" s="328"/>
      <c r="I65" s="328"/>
      <c r="J65" s="328"/>
      <c r="K65" s="328"/>
      <c r="L65" s="328"/>
      <c r="M65" s="328"/>
      <c r="N65" s="328"/>
      <c r="O65" s="328"/>
      <c r="P65" s="410"/>
      <c r="Q65" s="410"/>
      <c r="R65" s="410"/>
      <c r="S65" s="328"/>
      <c r="T65" s="328"/>
      <c r="U65" s="328"/>
      <c r="V65" s="328"/>
      <c r="W65" s="328"/>
      <c r="X65" s="328"/>
      <c r="Y65" s="328"/>
      <c r="Z65" s="410"/>
      <c r="AA65" s="410"/>
      <c r="AB65" s="328"/>
    </row>
    <row r="66" spans="3:28">
      <c r="C66" s="328"/>
    </row>
    <row r="67" spans="3:28">
      <c r="C67" s="328"/>
      <c r="H67" s="328"/>
      <c r="I67" s="328"/>
      <c r="J67" s="328"/>
      <c r="K67" s="328"/>
      <c r="L67" s="328"/>
      <c r="M67" s="328"/>
      <c r="N67" s="328"/>
      <c r="O67" s="328"/>
      <c r="P67" s="410"/>
      <c r="Q67" s="410"/>
      <c r="R67" s="410"/>
      <c r="S67" s="328"/>
      <c r="T67" s="328"/>
      <c r="U67" s="328"/>
      <c r="V67" s="328"/>
      <c r="W67" s="328"/>
      <c r="X67" s="328"/>
      <c r="Y67" s="328"/>
      <c r="Z67" s="410"/>
      <c r="AA67" s="410"/>
      <c r="AB67" s="328"/>
    </row>
    <row r="68" spans="3:28">
      <c r="C68" s="328"/>
    </row>
    <row r="69" spans="3:28">
      <c r="C69" s="328"/>
      <c r="H69" s="328"/>
      <c r="I69" s="328"/>
      <c r="J69" s="328"/>
      <c r="K69" s="328"/>
      <c r="L69" s="328"/>
      <c r="M69" s="328"/>
      <c r="N69" s="328"/>
      <c r="O69" s="328"/>
      <c r="P69" s="410"/>
      <c r="Q69" s="410"/>
      <c r="R69" s="410"/>
      <c r="S69" s="328"/>
      <c r="T69" s="328"/>
      <c r="U69" s="328"/>
      <c r="V69" s="328"/>
      <c r="W69" s="328"/>
      <c r="X69" s="328"/>
      <c r="Y69" s="328"/>
      <c r="Z69" s="410"/>
      <c r="AA69" s="410"/>
      <c r="AB69" s="328"/>
    </row>
    <row r="70" spans="3:28">
      <c r="C70" s="328"/>
    </row>
    <row r="71" spans="3:28">
      <c r="C71" s="328"/>
      <c r="H71" s="328"/>
      <c r="I71" s="328"/>
      <c r="J71" s="328"/>
      <c r="K71" s="328"/>
      <c r="L71" s="328"/>
      <c r="M71" s="328"/>
      <c r="N71" s="328"/>
      <c r="O71" s="328"/>
      <c r="P71" s="410"/>
      <c r="Q71" s="410"/>
      <c r="R71" s="410"/>
      <c r="S71" s="328"/>
      <c r="T71" s="328"/>
      <c r="U71" s="328"/>
      <c r="V71" s="328"/>
      <c r="W71" s="328"/>
      <c r="X71" s="328"/>
      <c r="Y71" s="328"/>
      <c r="Z71" s="410"/>
      <c r="AA71" s="410"/>
      <c r="AB71" s="328"/>
    </row>
    <row r="72" spans="3:28">
      <c r="C72" s="328"/>
    </row>
    <row r="73" spans="3:28">
      <c r="C73" s="328"/>
      <c r="H73" s="328"/>
      <c r="I73" s="328"/>
      <c r="J73" s="328"/>
      <c r="K73" s="328"/>
      <c r="L73" s="328"/>
      <c r="M73" s="328"/>
      <c r="N73" s="328"/>
      <c r="O73" s="328"/>
      <c r="P73" s="410"/>
      <c r="Q73" s="410"/>
      <c r="R73" s="410"/>
      <c r="S73" s="328"/>
      <c r="T73" s="328"/>
      <c r="U73" s="328"/>
      <c r="V73" s="328"/>
      <c r="W73" s="328"/>
      <c r="X73" s="328"/>
      <c r="Y73" s="328"/>
      <c r="Z73" s="410"/>
      <c r="AA73" s="410"/>
      <c r="AB73" s="328"/>
    </row>
    <row r="74" spans="3:28">
      <c r="C74" s="328"/>
    </row>
    <row r="75" spans="3:28">
      <c r="C75" s="328"/>
      <c r="H75" s="328"/>
      <c r="I75" s="328"/>
      <c r="J75" s="328"/>
      <c r="K75" s="328"/>
      <c r="L75" s="328"/>
      <c r="M75" s="328"/>
      <c r="N75" s="328"/>
      <c r="O75" s="328"/>
      <c r="P75" s="410"/>
      <c r="Q75" s="410"/>
      <c r="R75" s="410"/>
      <c r="S75" s="328"/>
      <c r="T75" s="328"/>
      <c r="U75" s="328"/>
      <c r="V75" s="328"/>
      <c r="W75" s="328"/>
      <c r="X75" s="328"/>
      <c r="Y75" s="328"/>
      <c r="Z75" s="410"/>
      <c r="AA75" s="410"/>
      <c r="AB75" s="328"/>
    </row>
    <row r="76" spans="3:28">
      <c r="C76" s="328"/>
    </row>
    <row r="77" spans="3:28">
      <c r="C77" s="328"/>
      <c r="H77" s="328"/>
      <c r="I77" s="328"/>
      <c r="J77" s="328"/>
      <c r="K77" s="328"/>
      <c r="L77" s="328"/>
      <c r="M77" s="328"/>
      <c r="N77" s="328"/>
      <c r="O77" s="328"/>
      <c r="P77" s="410"/>
      <c r="Q77" s="410"/>
      <c r="R77" s="410"/>
      <c r="S77" s="328"/>
      <c r="T77" s="328"/>
      <c r="U77" s="328"/>
      <c r="V77" s="328"/>
      <c r="W77" s="328"/>
      <c r="X77" s="328"/>
      <c r="Y77" s="328"/>
      <c r="Z77" s="410"/>
      <c r="AA77" s="410"/>
      <c r="AB77" s="328"/>
    </row>
    <row r="78" spans="3:28">
      <c r="C78" s="328"/>
    </row>
    <row r="79" spans="3:28">
      <c r="C79" s="328"/>
      <c r="H79" s="328"/>
      <c r="I79" s="328"/>
      <c r="J79" s="328"/>
      <c r="K79" s="328"/>
      <c r="L79" s="328"/>
      <c r="M79" s="328"/>
      <c r="N79" s="328"/>
      <c r="O79" s="328"/>
      <c r="P79" s="410"/>
      <c r="Q79" s="410"/>
      <c r="R79" s="410"/>
      <c r="S79" s="328"/>
      <c r="T79" s="328"/>
      <c r="U79" s="328"/>
      <c r="V79" s="328"/>
      <c r="W79" s="328"/>
      <c r="X79" s="328"/>
      <c r="Y79" s="328"/>
      <c r="Z79" s="410"/>
      <c r="AA79" s="410"/>
      <c r="AB79" s="328"/>
    </row>
    <row r="80" spans="3:28">
      <c r="C80" s="328"/>
    </row>
    <row r="81" spans="3:28">
      <c r="C81" s="328"/>
      <c r="H81" s="328"/>
      <c r="I81" s="328"/>
      <c r="J81" s="328"/>
      <c r="K81" s="328"/>
      <c r="L81" s="328"/>
      <c r="M81" s="328"/>
      <c r="N81" s="328"/>
      <c r="O81" s="328"/>
      <c r="P81" s="410"/>
      <c r="Q81" s="410"/>
      <c r="R81" s="410"/>
      <c r="S81" s="328"/>
      <c r="T81" s="328"/>
      <c r="U81" s="328"/>
      <c r="V81" s="328"/>
      <c r="W81" s="328"/>
      <c r="X81" s="328"/>
      <c r="Y81" s="328"/>
      <c r="Z81" s="410"/>
      <c r="AA81" s="410"/>
      <c r="AB81" s="328"/>
    </row>
    <row r="82" spans="3:28">
      <c r="C82" s="328"/>
      <c r="H82" s="328"/>
      <c r="I82" s="328"/>
      <c r="J82" s="328"/>
      <c r="K82" s="328"/>
    </row>
    <row r="83" spans="3:28">
      <c r="C83" s="328"/>
      <c r="H83" s="328"/>
      <c r="I83" s="328"/>
      <c r="J83" s="328"/>
      <c r="K83" s="328"/>
      <c r="L83" s="328"/>
      <c r="M83" s="328"/>
      <c r="N83" s="328"/>
      <c r="O83" s="328"/>
      <c r="P83" s="410"/>
      <c r="Q83" s="410"/>
      <c r="R83" s="410"/>
      <c r="S83" s="328"/>
      <c r="T83" s="328"/>
      <c r="U83" s="328"/>
      <c r="V83" s="328"/>
      <c r="W83" s="328"/>
      <c r="X83" s="328"/>
      <c r="Y83" s="328"/>
      <c r="Z83" s="410"/>
      <c r="AA83" s="410"/>
      <c r="AB83" s="328"/>
    </row>
    <row r="104" spans="4:11">
      <c r="H104" s="328"/>
      <c r="I104" s="328"/>
      <c r="J104" s="328"/>
      <c r="K104" s="328"/>
    </row>
    <row r="106" spans="4:11">
      <c r="H106" s="328"/>
      <c r="I106" s="328"/>
      <c r="J106" s="328"/>
      <c r="K106" s="328"/>
    </row>
    <row r="107" spans="4:11">
      <c r="H107" s="328"/>
      <c r="I107" s="328"/>
      <c r="J107" s="328"/>
      <c r="K107" s="328"/>
    </row>
    <row r="108" spans="4:11">
      <c r="H108" s="328"/>
      <c r="I108" s="328"/>
      <c r="J108" s="328"/>
      <c r="K108" s="328"/>
    </row>
    <row r="109" spans="4:11">
      <c r="D109" s="328"/>
      <c r="E109" s="328"/>
      <c r="F109" s="328"/>
      <c r="G109" s="328"/>
      <c r="H109" s="328"/>
      <c r="I109" s="328"/>
      <c r="J109" s="328"/>
      <c r="K109" s="328"/>
    </row>
    <row r="110" spans="4:11">
      <c r="D110" s="328"/>
      <c r="E110" s="328"/>
      <c r="F110" s="328"/>
      <c r="G110" s="328"/>
      <c r="H110" s="328"/>
      <c r="I110" s="328"/>
      <c r="J110" s="328"/>
      <c r="K110" s="328"/>
    </row>
    <row r="111" spans="4:11">
      <c r="D111" s="328"/>
      <c r="E111" s="328"/>
      <c r="F111" s="328"/>
      <c r="G111" s="328"/>
      <c r="H111" s="328"/>
      <c r="I111" s="328"/>
      <c r="J111" s="328"/>
      <c r="K111" s="328"/>
    </row>
    <row r="112" spans="4:11">
      <c r="D112" s="328"/>
      <c r="E112" s="328"/>
      <c r="F112" s="328"/>
      <c r="G112" s="328"/>
      <c r="H112" s="328"/>
      <c r="I112" s="328"/>
      <c r="J112" s="328"/>
      <c r="K112" s="328"/>
    </row>
    <row r="113" spans="3:37">
      <c r="C113" s="328"/>
      <c r="D113" s="328"/>
      <c r="E113" s="328"/>
      <c r="F113" s="328"/>
      <c r="G113" s="328"/>
      <c r="H113" s="328"/>
      <c r="I113" s="328"/>
      <c r="J113" s="328"/>
      <c r="K113" s="328"/>
      <c r="L113" s="328"/>
      <c r="M113" s="328"/>
      <c r="N113" s="328"/>
      <c r="O113" s="328"/>
      <c r="P113" s="410"/>
      <c r="Q113" s="410"/>
      <c r="R113" s="410"/>
      <c r="S113" s="328"/>
      <c r="T113" s="328"/>
      <c r="U113" s="328"/>
      <c r="V113" s="328"/>
      <c r="W113" s="328"/>
      <c r="X113" s="328"/>
      <c r="Y113" s="328"/>
      <c r="Z113" s="410"/>
      <c r="AA113" s="410"/>
      <c r="AB113" s="328"/>
      <c r="AD113" s="328"/>
      <c r="AE113" s="328"/>
      <c r="AI113" s="411"/>
      <c r="AK113" s="411"/>
    </row>
    <row r="114" spans="3:37">
      <c r="D114" s="328"/>
      <c r="E114" s="328"/>
      <c r="F114" s="328"/>
      <c r="G114" s="328"/>
      <c r="H114" s="328"/>
      <c r="I114" s="328"/>
      <c r="J114" s="328"/>
      <c r="K114" s="328"/>
      <c r="AB114" s="328"/>
      <c r="AI114" s="411"/>
    </row>
    <row r="115" spans="3:37">
      <c r="C115" s="328"/>
      <c r="D115" s="328"/>
      <c r="E115" s="328"/>
      <c r="F115" s="328"/>
      <c r="G115" s="328"/>
      <c r="H115" s="328"/>
      <c r="I115" s="328"/>
      <c r="J115" s="328"/>
      <c r="K115" s="328"/>
      <c r="L115" s="328"/>
      <c r="M115" s="328"/>
      <c r="N115" s="328"/>
      <c r="O115" s="328"/>
      <c r="P115" s="410"/>
      <c r="Q115" s="410"/>
      <c r="R115" s="410"/>
      <c r="S115" s="328"/>
      <c r="T115" s="328"/>
      <c r="U115" s="328"/>
      <c r="V115" s="328"/>
      <c r="W115" s="328"/>
      <c r="X115" s="328"/>
      <c r="Y115" s="328"/>
      <c r="Z115" s="410"/>
      <c r="AA115" s="410"/>
      <c r="AB115" s="328"/>
      <c r="AD115" s="328"/>
      <c r="AE115" s="328"/>
      <c r="AI115" s="411"/>
      <c r="AK115" s="411"/>
    </row>
    <row r="116" spans="3:37">
      <c r="D116" s="328"/>
      <c r="E116" s="328"/>
      <c r="F116" s="328"/>
      <c r="G116" s="328"/>
      <c r="H116" s="328"/>
      <c r="I116" s="328"/>
      <c r="J116" s="328"/>
      <c r="K116" s="328"/>
      <c r="AB116" s="328"/>
      <c r="AI116" s="411"/>
    </row>
    <row r="117" spans="3:37">
      <c r="C117" s="328"/>
      <c r="D117" s="328"/>
      <c r="E117" s="328"/>
      <c r="F117" s="328"/>
      <c r="G117" s="328"/>
      <c r="H117" s="328"/>
      <c r="I117" s="328"/>
      <c r="J117" s="328"/>
      <c r="K117" s="328"/>
      <c r="L117" s="328"/>
      <c r="M117" s="328"/>
      <c r="N117" s="328"/>
      <c r="O117" s="328"/>
      <c r="P117" s="410"/>
      <c r="Q117" s="410"/>
      <c r="R117" s="410"/>
      <c r="S117" s="328"/>
      <c r="T117" s="328"/>
      <c r="U117" s="328"/>
      <c r="V117" s="328"/>
      <c r="W117" s="328"/>
      <c r="X117" s="328"/>
      <c r="Y117" s="328"/>
      <c r="Z117" s="410"/>
      <c r="AA117" s="410"/>
      <c r="AB117" s="328"/>
      <c r="AD117" s="328"/>
      <c r="AE117" s="328"/>
      <c r="AI117" s="411"/>
      <c r="AK117" s="411"/>
    </row>
    <row r="118" spans="3:37">
      <c r="D118" s="328"/>
      <c r="E118" s="328"/>
      <c r="F118" s="328"/>
      <c r="G118" s="328"/>
      <c r="H118" s="328"/>
      <c r="I118" s="328"/>
      <c r="J118" s="328"/>
      <c r="K118" s="328"/>
      <c r="AB118" s="328"/>
      <c r="AI118" s="411"/>
    </row>
    <row r="119" spans="3:37">
      <c r="C119" s="328"/>
      <c r="D119" s="328"/>
      <c r="E119" s="328"/>
      <c r="F119" s="328"/>
      <c r="G119" s="328"/>
      <c r="H119" s="328"/>
      <c r="I119" s="328"/>
      <c r="J119" s="328"/>
      <c r="K119" s="328"/>
      <c r="L119" s="328"/>
      <c r="M119" s="328"/>
      <c r="N119" s="328"/>
      <c r="O119" s="328"/>
      <c r="P119" s="410"/>
      <c r="Q119" s="410"/>
      <c r="R119" s="410"/>
      <c r="S119" s="328"/>
      <c r="T119" s="328"/>
      <c r="U119" s="328"/>
      <c r="V119" s="328"/>
      <c r="W119" s="328"/>
      <c r="X119" s="328"/>
      <c r="Y119" s="328"/>
      <c r="Z119" s="410"/>
      <c r="AA119" s="410"/>
      <c r="AB119" s="328"/>
      <c r="AD119" s="328"/>
      <c r="AE119" s="328"/>
      <c r="AI119" s="411"/>
      <c r="AK119" s="411"/>
    </row>
    <row r="120" spans="3:37">
      <c r="D120" s="328"/>
      <c r="E120" s="328"/>
      <c r="F120" s="328"/>
      <c r="G120" s="328"/>
      <c r="H120" s="328"/>
      <c r="I120" s="328"/>
      <c r="J120" s="328"/>
      <c r="K120" s="328"/>
      <c r="AB120" s="328"/>
    </row>
    <row r="121" spans="3:37">
      <c r="C121" s="328"/>
      <c r="D121" s="328"/>
      <c r="E121" s="328"/>
      <c r="F121" s="328"/>
      <c r="G121" s="328"/>
      <c r="H121" s="328"/>
      <c r="I121" s="328"/>
      <c r="J121" s="328"/>
      <c r="K121" s="328"/>
      <c r="L121" s="328"/>
      <c r="M121" s="328"/>
      <c r="N121" s="328"/>
      <c r="O121" s="328"/>
      <c r="P121" s="410"/>
      <c r="Q121" s="410"/>
      <c r="R121" s="410"/>
      <c r="S121" s="328"/>
      <c r="T121" s="328"/>
      <c r="U121" s="328"/>
      <c r="V121" s="328"/>
      <c r="W121" s="328"/>
      <c r="X121" s="328"/>
      <c r="Y121" s="328"/>
      <c r="Z121" s="410"/>
      <c r="AA121" s="410"/>
      <c r="AB121" s="328"/>
      <c r="AD121" s="328"/>
      <c r="AE121" s="328"/>
      <c r="AI121" s="411"/>
      <c r="AK121" s="411"/>
    </row>
    <row r="122" spans="3:37">
      <c r="D122" s="328"/>
      <c r="E122" s="328"/>
      <c r="F122" s="328"/>
      <c r="G122" s="328"/>
      <c r="H122" s="328"/>
      <c r="I122" s="328"/>
      <c r="J122" s="328"/>
      <c r="K122" s="328"/>
      <c r="AB122" s="328"/>
      <c r="AI122" s="411"/>
    </row>
    <row r="123" spans="3:37">
      <c r="C123" s="328"/>
      <c r="D123" s="328"/>
      <c r="E123" s="328"/>
      <c r="F123" s="328"/>
      <c r="G123" s="328"/>
      <c r="H123" s="328"/>
      <c r="I123" s="328"/>
      <c r="J123" s="328"/>
      <c r="K123" s="328"/>
      <c r="L123" s="328"/>
      <c r="M123" s="328"/>
      <c r="N123" s="328"/>
      <c r="O123" s="328"/>
      <c r="P123" s="410"/>
      <c r="Q123" s="410"/>
      <c r="R123" s="410"/>
      <c r="S123" s="328"/>
      <c r="T123" s="328"/>
      <c r="U123" s="328"/>
      <c r="V123" s="328"/>
      <c r="W123" s="328"/>
      <c r="X123" s="328"/>
      <c r="Y123" s="328"/>
      <c r="Z123" s="410"/>
      <c r="AA123" s="410"/>
      <c r="AB123" s="328"/>
      <c r="AD123" s="328"/>
      <c r="AE123" s="328"/>
      <c r="AI123" s="411"/>
      <c r="AK123" s="411"/>
    </row>
    <row r="124" spans="3:37">
      <c r="D124" s="328"/>
      <c r="E124" s="328"/>
      <c r="F124" s="328"/>
      <c r="G124" s="328"/>
      <c r="H124" s="328"/>
      <c r="I124" s="328"/>
      <c r="J124" s="328"/>
      <c r="K124" s="328"/>
      <c r="AB124" s="328"/>
      <c r="AI124" s="411"/>
    </row>
    <row r="125" spans="3:37">
      <c r="C125" s="328"/>
      <c r="D125" s="328"/>
      <c r="E125" s="328"/>
      <c r="F125" s="328"/>
      <c r="G125" s="328"/>
      <c r="H125" s="328"/>
      <c r="I125" s="328"/>
      <c r="J125" s="328"/>
      <c r="K125" s="328"/>
      <c r="L125" s="328"/>
      <c r="M125" s="328"/>
      <c r="N125" s="328"/>
      <c r="O125" s="328"/>
      <c r="P125" s="410"/>
      <c r="Q125" s="410"/>
      <c r="R125" s="410"/>
      <c r="S125" s="328"/>
      <c r="T125" s="328"/>
      <c r="U125" s="328"/>
      <c r="V125" s="328"/>
      <c r="W125" s="328"/>
      <c r="X125" s="328"/>
      <c r="Y125" s="328"/>
      <c r="Z125" s="410"/>
      <c r="AA125" s="410"/>
      <c r="AB125" s="328"/>
      <c r="AD125" s="328"/>
      <c r="AE125" s="328"/>
      <c r="AI125" s="411"/>
      <c r="AK125" s="411"/>
    </row>
    <row r="126" spans="3:37">
      <c r="D126" s="328"/>
      <c r="E126" s="328"/>
      <c r="F126" s="328"/>
      <c r="G126" s="328"/>
      <c r="H126" s="328"/>
      <c r="I126" s="328"/>
      <c r="J126" s="328"/>
      <c r="K126" s="328"/>
      <c r="AB126" s="328"/>
      <c r="AI126" s="411"/>
    </row>
    <row r="127" spans="3:37">
      <c r="C127" s="328"/>
      <c r="D127" s="328"/>
      <c r="E127" s="328"/>
      <c r="F127" s="328"/>
      <c r="G127" s="328"/>
      <c r="H127" s="328"/>
      <c r="I127" s="328"/>
      <c r="J127" s="328"/>
      <c r="K127" s="328"/>
      <c r="L127" s="328"/>
      <c r="M127" s="328"/>
      <c r="N127" s="328"/>
      <c r="O127" s="328"/>
      <c r="P127" s="410"/>
      <c r="Q127" s="410"/>
      <c r="R127" s="410"/>
      <c r="S127" s="328"/>
      <c r="T127" s="328"/>
      <c r="U127" s="328"/>
      <c r="V127" s="328"/>
      <c r="W127" s="328"/>
      <c r="X127" s="328"/>
      <c r="Y127" s="328"/>
      <c r="Z127" s="410"/>
      <c r="AA127" s="410"/>
      <c r="AB127" s="328"/>
      <c r="AD127" s="328"/>
      <c r="AE127" s="328"/>
      <c r="AI127" s="411"/>
      <c r="AK127" s="411"/>
    </row>
    <row r="128" spans="3:37">
      <c r="D128" s="328"/>
      <c r="E128" s="328"/>
      <c r="F128" s="328"/>
      <c r="G128" s="328"/>
      <c r="H128" s="328"/>
      <c r="I128" s="328"/>
      <c r="J128" s="328"/>
      <c r="K128" s="328"/>
      <c r="AB128" s="328"/>
    </row>
    <row r="129" spans="3:37">
      <c r="C129" s="328"/>
      <c r="D129" s="328"/>
      <c r="E129" s="328"/>
      <c r="F129" s="328"/>
      <c r="G129" s="328"/>
      <c r="H129" s="328"/>
      <c r="I129" s="328"/>
      <c r="J129" s="328"/>
      <c r="K129" s="328"/>
      <c r="L129" s="328"/>
      <c r="M129" s="328"/>
      <c r="N129" s="328"/>
      <c r="O129" s="328"/>
      <c r="P129" s="410"/>
      <c r="Q129" s="410"/>
      <c r="R129" s="410"/>
      <c r="S129" s="328"/>
      <c r="T129" s="328"/>
      <c r="U129" s="328"/>
      <c r="V129" s="328"/>
      <c r="W129" s="328"/>
      <c r="X129" s="328"/>
      <c r="Y129" s="328"/>
      <c r="Z129" s="410"/>
      <c r="AA129" s="410"/>
      <c r="AB129" s="328"/>
      <c r="AD129" s="328"/>
      <c r="AE129" s="328"/>
      <c r="AI129" s="411"/>
      <c r="AK129" s="411"/>
    </row>
    <row r="130" spans="3:37">
      <c r="D130" s="328"/>
      <c r="E130" s="328"/>
      <c r="F130" s="328"/>
      <c r="G130" s="328"/>
      <c r="H130" s="328"/>
      <c r="I130" s="328"/>
      <c r="J130" s="328"/>
      <c r="K130" s="328"/>
      <c r="AB130" s="328"/>
      <c r="AI130" s="411"/>
    </row>
    <row r="131" spans="3:37">
      <c r="C131" s="328"/>
      <c r="D131" s="328"/>
      <c r="E131" s="328"/>
      <c r="F131" s="328"/>
      <c r="G131" s="328"/>
      <c r="H131" s="328"/>
      <c r="I131" s="328"/>
      <c r="J131" s="328"/>
      <c r="K131" s="328"/>
      <c r="L131" s="328"/>
      <c r="M131" s="328"/>
      <c r="N131" s="328"/>
      <c r="O131" s="328"/>
      <c r="P131" s="410"/>
      <c r="Q131" s="410"/>
      <c r="R131" s="410"/>
      <c r="S131" s="328"/>
      <c r="T131" s="328"/>
      <c r="U131" s="328"/>
      <c r="V131" s="328"/>
      <c r="W131" s="328"/>
      <c r="X131" s="328"/>
      <c r="Y131" s="328"/>
      <c r="Z131" s="410"/>
      <c r="AA131" s="410"/>
      <c r="AB131" s="328"/>
      <c r="AD131" s="328"/>
      <c r="AE131" s="328"/>
      <c r="AI131" s="411"/>
      <c r="AK131" s="411"/>
    </row>
    <row r="132" spans="3:37">
      <c r="D132" s="328"/>
      <c r="E132" s="328"/>
      <c r="F132" s="328"/>
      <c r="G132" s="328"/>
      <c r="H132" s="328"/>
      <c r="I132" s="328"/>
      <c r="J132" s="328"/>
      <c r="K132" s="328"/>
      <c r="AB132" s="328"/>
      <c r="AI132" s="411"/>
    </row>
    <row r="133" spans="3:37">
      <c r="C133" s="328"/>
      <c r="D133" s="328"/>
      <c r="E133" s="328"/>
      <c r="F133" s="328"/>
      <c r="G133" s="328"/>
      <c r="H133" s="328"/>
      <c r="I133" s="328"/>
      <c r="J133" s="328"/>
      <c r="K133" s="328"/>
      <c r="L133" s="328"/>
      <c r="M133" s="328"/>
      <c r="N133" s="328"/>
      <c r="O133" s="328"/>
      <c r="P133" s="410"/>
      <c r="Q133" s="410"/>
      <c r="R133" s="410"/>
      <c r="S133" s="328"/>
      <c r="T133" s="328"/>
      <c r="U133" s="328"/>
      <c r="V133" s="328"/>
      <c r="W133" s="328"/>
      <c r="X133" s="328"/>
      <c r="Y133" s="328"/>
      <c r="Z133" s="410"/>
      <c r="AA133" s="410"/>
      <c r="AB133" s="328"/>
      <c r="AD133" s="328"/>
      <c r="AE133" s="328"/>
      <c r="AI133" s="411"/>
      <c r="AK133" s="411"/>
    </row>
    <row r="134" spans="3:37">
      <c r="D134" s="328"/>
      <c r="E134" s="328"/>
      <c r="F134" s="328"/>
      <c r="G134" s="328"/>
      <c r="H134" s="328"/>
      <c r="I134" s="328"/>
      <c r="J134" s="328"/>
      <c r="K134" s="328"/>
      <c r="AB134" s="328"/>
      <c r="AI134" s="411"/>
    </row>
    <row r="135" spans="3:37">
      <c r="C135" s="328"/>
      <c r="D135" s="328"/>
      <c r="E135" s="328"/>
      <c r="F135" s="328"/>
      <c r="G135" s="328"/>
      <c r="H135" s="328"/>
      <c r="I135" s="328"/>
      <c r="J135" s="328"/>
      <c r="K135" s="328"/>
      <c r="L135" s="328"/>
      <c r="M135" s="328"/>
      <c r="N135" s="328"/>
      <c r="O135" s="328"/>
      <c r="P135" s="410"/>
      <c r="Q135" s="410"/>
      <c r="R135" s="410"/>
      <c r="S135" s="328"/>
      <c r="T135" s="328"/>
      <c r="U135" s="328"/>
      <c r="V135" s="328"/>
      <c r="W135" s="328"/>
      <c r="X135" s="328"/>
      <c r="Y135" s="328"/>
      <c r="Z135" s="410"/>
      <c r="AA135" s="410"/>
      <c r="AB135" s="328"/>
      <c r="AD135" s="328"/>
      <c r="AE135" s="328"/>
      <c r="AI135" s="411"/>
      <c r="AK135" s="411"/>
    </row>
    <row r="136" spans="3:37">
      <c r="AB136" s="328"/>
    </row>
    <row r="140" spans="3:37">
      <c r="AK140" s="279" t="s">
        <v>22</v>
      </c>
    </row>
    <row r="142" spans="3:37">
      <c r="C142" s="328"/>
    </row>
    <row r="165" spans="3:11">
      <c r="C165" s="411"/>
      <c r="H165" s="328"/>
      <c r="I165" s="328"/>
      <c r="J165" s="328"/>
      <c r="K165" s="328"/>
    </row>
    <row r="166" spans="3:11">
      <c r="C166" s="328"/>
      <c r="H166" s="328"/>
      <c r="I166" s="328"/>
      <c r="J166" s="328"/>
      <c r="K166" s="328"/>
    </row>
    <row r="167" spans="3:11">
      <c r="C167" s="411"/>
      <c r="H167" s="328"/>
      <c r="I167" s="328"/>
      <c r="J167" s="328"/>
      <c r="K167" s="328"/>
    </row>
    <row r="168" spans="3:11">
      <c r="C168" s="328"/>
      <c r="H168" s="328"/>
      <c r="I168" s="328"/>
      <c r="J168" s="328"/>
      <c r="K168" s="328"/>
    </row>
    <row r="169" spans="3:11">
      <c r="C169" s="411"/>
      <c r="H169" s="328"/>
      <c r="I169" s="328"/>
      <c r="J169" s="328"/>
      <c r="K169" s="328"/>
    </row>
    <row r="170" spans="3:11">
      <c r="C170" s="328"/>
      <c r="H170" s="328"/>
      <c r="I170" s="328"/>
      <c r="J170" s="328"/>
      <c r="K170" s="328"/>
    </row>
    <row r="171" spans="3:11">
      <c r="C171" s="411"/>
      <c r="H171" s="328"/>
      <c r="I171" s="328"/>
      <c r="J171" s="328"/>
      <c r="K171" s="328"/>
    </row>
    <row r="172" spans="3:11">
      <c r="C172" s="328"/>
      <c r="H172" s="328"/>
      <c r="I172" s="328"/>
      <c r="J172" s="328"/>
      <c r="K172" s="328"/>
    </row>
    <row r="173" spans="3:11">
      <c r="C173" s="411"/>
      <c r="H173" s="328"/>
      <c r="I173" s="328"/>
      <c r="J173" s="328"/>
      <c r="K173" s="328"/>
    </row>
    <row r="174" spans="3:11">
      <c r="C174" s="328"/>
      <c r="H174" s="328"/>
      <c r="I174" s="328"/>
      <c r="J174" s="328"/>
      <c r="K174" s="328"/>
    </row>
    <row r="175" spans="3:11">
      <c r="C175" s="411"/>
      <c r="H175" s="328"/>
      <c r="I175" s="328"/>
      <c r="J175" s="328"/>
      <c r="K175" s="328"/>
    </row>
    <row r="176" spans="3:11">
      <c r="C176" s="328"/>
      <c r="H176" s="328"/>
      <c r="I176" s="328"/>
      <c r="J176" s="328"/>
      <c r="K176" s="328"/>
    </row>
    <row r="177" spans="3:11">
      <c r="C177" s="411"/>
      <c r="H177" s="328"/>
      <c r="I177" s="328"/>
      <c r="J177" s="328"/>
      <c r="K177" s="328"/>
    </row>
    <row r="178" spans="3:11">
      <c r="C178" s="328"/>
      <c r="H178" s="328"/>
      <c r="I178" s="328"/>
      <c r="J178" s="328"/>
      <c r="K178" s="328"/>
    </row>
    <row r="179" spans="3:11">
      <c r="C179" s="411"/>
      <c r="H179" s="328"/>
      <c r="I179" s="328"/>
      <c r="J179" s="328"/>
      <c r="K179" s="328"/>
    </row>
    <row r="180" spans="3:11">
      <c r="C180" s="328"/>
      <c r="H180" s="328"/>
      <c r="I180" s="328"/>
      <c r="J180" s="328"/>
      <c r="K180" s="328"/>
    </row>
    <row r="181" spans="3:11">
      <c r="C181" s="411"/>
      <c r="H181" s="328"/>
      <c r="I181" s="328"/>
      <c r="J181" s="328"/>
      <c r="K181" s="328"/>
    </row>
    <row r="182" spans="3:11">
      <c r="C182" s="328"/>
      <c r="H182" s="328"/>
      <c r="I182" s="328"/>
      <c r="J182" s="328"/>
      <c r="K182" s="328"/>
    </row>
    <row r="183" spans="3:11">
      <c r="C183" s="411"/>
      <c r="H183" s="328"/>
      <c r="I183" s="328"/>
      <c r="J183" s="328"/>
      <c r="K183" s="328"/>
    </row>
    <row r="184" spans="3:11">
      <c r="C184" s="328"/>
      <c r="H184" s="328"/>
      <c r="I184" s="328"/>
      <c r="J184" s="328"/>
      <c r="K184" s="328"/>
    </row>
    <row r="185" spans="3:11">
      <c r="C185" s="411"/>
      <c r="H185" s="328"/>
      <c r="I185" s="328"/>
      <c r="J185" s="328"/>
      <c r="K185" s="328"/>
    </row>
    <row r="186" spans="3:11">
      <c r="C186" s="328"/>
      <c r="H186" s="328"/>
      <c r="I186" s="328"/>
      <c r="J186" s="328"/>
      <c r="K186" s="328"/>
    </row>
    <row r="187" spans="3:11">
      <c r="C187" s="411"/>
      <c r="H187" s="328"/>
      <c r="I187" s="328"/>
      <c r="J187" s="328"/>
      <c r="K187" s="328"/>
    </row>
  </sheetData>
  <mergeCells count="7">
    <mergeCell ref="Z7:AC7"/>
    <mergeCell ref="D6:G6"/>
    <mergeCell ref="H6:K6"/>
    <mergeCell ref="L6:O6"/>
    <mergeCell ref="P6:V6"/>
    <mergeCell ref="W6:Y6"/>
    <mergeCell ref="Z6:AC6"/>
  </mergeCells>
  <pageMargins left="0.25" right="0.25" top="0.75" bottom="0.75" header="0.3" footer="0.3"/>
  <pageSetup paperSize="5" scale="60" firstPageNumber="0" orientation="landscape" horizontalDpi="300" verticalDpi="300" r:id="rId1"/>
  <headerFooter alignWithMargins="0"/>
  <colBreaks count="1" manualBreakCount="1">
    <brk id="15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R40"/>
  <sheetViews>
    <sheetView workbookViewId="0">
      <selection activeCell="O10" sqref="O10"/>
    </sheetView>
  </sheetViews>
  <sheetFormatPr defaultColWidth="7.109375" defaultRowHeight="15"/>
  <cols>
    <col min="1" max="1" width="0.6640625" customWidth="1"/>
    <col min="2" max="2" width="7.109375" customWidth="1"/>
    <col min="3" max="3" width="10.88671875" customWidth="1"/>
    <col min="4" max="4" width="9.88671875" customWidth="1"/>
    <col min="5" max="5" width="9.44140625" customWidth="1"/>
    <col min="6" max="6" width="7.109375" customWidth="1"/>
    <col min="7" max="7" width="9.44140625" customWidth="1"/>
    <col min="8" max="8" width="11.88671875" customWidth="1"/>
    <col min="9" max="10" width="9.44140625" customWidth="1"/>
    <col min="11" max="12" width="10.88671875" customWidth="1"/>
    <col min="13" max="13" width="11.33203125" customWidth="1"/>
    <col min="14" max="16" width="10.88671875" customWidth="1"/>
    <col min="17" max="17" width="8.33203125" customWidth="1"/>
  </cols>
  <sheetData>
    <row r="1" spans="1:18">
      <c r="B1" t="s">
        <v>0</v>
      </c>
    </row>
    <row r="4" spans="1:18" ht="15.75">
      <c r="G4" s="6"/>
      <c r="H4" s="6" t="s">
        <v>141</v>
      </c>
      <c r="N4" s="6"/>
    </row>
    <row r="5" spans="1:18" ht="15.75">
      <c r="G5" s="6"/>
      <c r="H5" s="6" t="s">
        <v>34</v>
      </c>
      <c r="N5" s="6"/>
    </row>
    <row r="6" spans="1:18" ht="15.75">
      <c r="F6" s="6"/>
      <c r="H6" s="40" t="s">
        <v>241</v>
      </c>
      <c r="P6" s="40"/>
    </row>
    <row r="7" spans="1:18" ht="15.75">
      <c r="H7" s="6"/>
      <c r="I7" s="275" t="s">
        <v>240</v>
      </c>
    </row>
    <row r="8" spans="1:18" ht="15.75" thickBot="1"/>
    <row r="9" spans="1:18">
      <c r="A9" s="68"/>
      <c r="B9" s="69"/>
      <c r="C9" s="70" t="s">
        <v>36</v>
      </c>
      <c r="D9" s="70" t="s">
        <v>140</v>
      </c>
      <c r="E9" s="70"/>
      <c r="F9" s="70" t="s">
        <v>58</v>
      </c>
      <c r="G9" s="70"/>
      <c r="H9" s="70" t="s">
        <v>39</v>
      </c>
      <c r="I9" s="70"/>
      <c r="J9" s="70"/>
      <c r="K9" s="70" t="s">
        <v>30</v>
      </c>
      <c r="L9" s="70" t="s">
        <v>74</v>
      </c>
      <c r="M9" s="70" t="s">
        <v>49</v>
      </c>
      <c r="N9" s="274" t="s">
        <v>239</v>
      </c>
      <c r="O9" s="70" t="s">
        <v>142</v>
      </c>
      <c r="P9" s="71"/>
      <c r="Q9" s="72" t="s">
        <v>5</v>
      </c>
      <c r="R9" s="32"/>
    </row>
    <row r="10" spans="1:18">
      <c r="A10" s="21"/>
      <c r="B10" s="73" t="s">
        <v>66</v>
      </c>
      <c r="C10" s="74" t="s">
        <v>29</v>
      </c>
      <c r="D10" s="74" t="s">
        <v>18</v>
      </c>
      <c r="E10" s="75" t="s">
        <v>16</v>
      </c>
      <c r="F10" s="74" t="s">
        <v>42</v>
      </c>
      <c r="G10" s="75" t="s">
        <v>12</v>
      </c>
      <c r="H10" s="272" t="s">
        <v>235</v>
      </c>
      <c r="I10" s="75" t="s">
        <v>12</v>
      </c>
      <c r="J10" s="74" t="s">
        <v>74</v>
      </c>
      <c r="K10" s="74" t="s">
        <v>28</v>
      </c>
      <c r="L10" s="272" t="s">
        <v>236</v>
      </c>
      <c r="M10" s="74" t="s">
        <v>37</v>
      </c>
      <c r="N10" s="74" t="s">
        <v>25</v>
      </c>
      <c r="O10" s="74" t="s">
        <v>25</v>
      </c>
      <c r="P10" s="33"/>
      <c r="Q10" s="76" t="s">
        <v>52</v>
      </c>
      <c r="R10" s="32"/>
    </row>
    <row r="11" spans="1:18" ht="15.75" thickBot="1">
      <c r="A11" s="23"/>
      <c r="B11" s="77"/>
      <c r="C11" s="78" t="s">
        <v>65</v>
      </c>
      <c r="D11" s="78" t="s">
        <v>60</v>
      </c>
      <c r="E11" s="78" t="s">
        <v>45</v>
      </c>
      <c r="F11" s="78" t="s">
        <v>51</v>
      </c>
      <c r="G11" s="78" t="s">
        <v>45</v>
      </c>
      <c r="H11" s="78" t="s">
        <v>32</v>
      </c>
      <c r="I11" s="78" t="s">
        <v>45</v>
      </c>
      <c r="J11" s="78" t="s">
        <v>26</v>
      </c>
      <c r="K11" s="78" t="s">
        <v>64</v>
      </c>
      <c r="L11" s="78" t="s">
        <v>63</v>
      </c>
      <c r="M11" s="273" t="s">
        <v>238</v>
      </c>
      <c r="N11" s="78" t="s">
        <v>47</v>
      </c>
      <c r="O11" s="78" t="s">
        <v>47</v>
      </c>
      <c r="P11" s="79" t="s">
        <v>44</v>
      </c>
      <c r="Q11" s="80" t="s">
        <v>76</v>
      </c>
      <c r="R11" s="32"/>
    </row>
    <row r="12" spans="1:18">
      <c r="A12" s="2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47"/>
      <c r="M12" s="8"/>
      <c r="N12" s="50"/>
      <c r="O12" s="32"/>
      <c r="P12" s="8"/>
      <c r="Q12" s="50"/>
    </row>
    <row r="13" spans="1:18">
      <c r="A13" s="21"/>
      <c r="B13" t="s">
        <v>8</v>
      </c>
      <c r="C13" s="12">
        <v>230000</v>
      </c>
      <c r="D13" s="11">
        <v>146154</v>
      </c>
      <c r="E13" s="7">
        <f>SUM(D13/$D$35*0.5)</f>
        <v>1.6404747874400202E-2</v>
      </c>
      <c r="F13" s="14">
        <v>4</v>
      </c>
      <c r="G13" s="7">
        <f>SUM(F13/$F$35*0.25)</f>
        <v>1.4925373134328358E-2</v>
      </c>
      <c r="H13" s="12">
        <v>1206780</v>
      </c>
      <c r="I13" s="7">
        <f>SUM(H13/$H$35*0.25)</f>
        <v>7.5681308629528014E-3</v>
      </c>
      <c r="J13" s="14">
        <f>E13+G13+I13</f>
        <v>3.8898251871681361E-2</v>
      </c>
      <c r="K13" s="12">
        <f>ROUND(J13*$K$37,0)</f>
        <v>135139</v>
      </c>
      <c r="L13" s="15">
        <f>C13+K13</f>
        <v>365139</v>
      </c>
      <c r="M13" s="18">
        <f>ROUND(346998*L13/$L$35,0)</f>
        <v>15160</v>
      </c>
      <c r="N13" s="13">
        <f>SUM(L13:M13)</f>
        <v>380299</v>
      </c>
      <c r="O13" s="13">
        <v>373490</v>
      </c>
      <c r="P13" s="18">
        <f>N13-O13</f>
        <v>6809</v>
      </c>
      <c r="Q13" s="38">
        <f>SUM(P13/O13)</f>
        <v>1.8230742456290663E-2</v>
      </c>
    </row>
    <row r="14" spans="1:18">
      <c r="A14" s="21"/>
      <c r="C14" s="2"/>
      <c r="D14" s="1"/>
      <c r="E14" s="22"/>
      <c r="L14" s="16"/>
      <c r="M14" s="19"/>
      <c r="N14" s="26"/>
      <c r="O14" s="26"/>
      <c r="P14" s="8"/>
      <c r="Q14" s="39"/>
    </row>
    <row r="15" spans="1:18">
      <c r="A15" s="21"/>
      <c r="B15" t="s">
        <v>11</v>
      </c>
      <c r="C15" s="12">
        <v>230000</v>
      </c>
      <c r="D15" s="11">
        <v>139488</v>
      </c>
      <c r="E15" s="7">
        <f>SUM(D15/$D$35*0.5)</f>
        <v>1.5656536745517299E-2</v>
      </c>
      <c r="F15" s="14">
        <v>14</v>
      </c>
      <c r="G15" s="7">
        <f>SUM(F15/$F$35*0.25)</f>
        <v>5.2238805970149252E-2</v>
      </c>
      <c r="H15" s="12">
        <v>1475376</v>
      </c>
      <c r="I15" s="7">
        <f>SUM(H15/$H$35*0.25)</f>
        <v>9.2525884088730768E-3</v>
      </c>
      <c r="J15" s="14">
        <f>E15+G15+I15</f>
        <v>7.7147931124539632E-2</v>
      </c>
      <c r="K15" s="12">
        <f>ROUND(J15*$K$37,0)</f>
        <v>268024</v>
      </c>
      <c r="L15" s="15">
        <f>C15+K15</f>
        <v>498024</v>
      </c>
      <c r="M15" s="18">
        <f>ROUND(346998*L15/$L$35,0)</f>
        <v>20677</v>
      </c>
      <c r="N15" s="13">
        <f>SUM(L15:M15)</f>
        <v>518701</v>
      </c>
      <c r="O15" s="13">
        <v>504578</v>
      </c>
      <c r="P15" s="18">
        <f>N15-O15</f>
        <v>14123</v>
      </c>
      <c r="Q15" s="38">
        <f>SUM(P15/O15)</f>
        <v>2.798972606812029E-2</v>
      </c>
    </row>
    <row r="16" spans="1:18">
      <c r="A16" s="21"/>
      <c r="C16" s="2"/>
      <c r="D16" s="1"/>
      <c r="E16" s="22"/>
      <c r="H16" s="2"/>
      <c r="L16" s="16"/>
      <c r="M16" s="19"/>
      <c r="N16" s="26"/>
      <c r="O16" s="26"/>
      <c r="P16" s="8"/>
      <c r="Q16" s="39"/>
    </row>
    <row r="17" spans="1:17">
      <c r="A17" s="21"/>
      <c r="B17" t="s">
        <v>13</v>
      </c>
      <c r="C17" s="12">
        <f>ROUND('[1]2008 Svcs and Adm Alloca  updat'!Z17*0.07,0)</f>
        <v>466841</v>
      </c>
      <c r="D17" s="11">
        <v>479843</v>
      </c>
      <c r="E17" s="7">
        <f>SUM(D17/$D$35*0.5)</f>
        <v>5.3858966804164209E-2</v>
      </c>
      <c r="F17" s="14">
        <v>16</v>
      </c>
      <c r="G17" s="7">
        <f>SUM(F17/$F$35*0.25)</f>
        <v>5.9701492537313432E-2</v>
      </c>
      <c r="H17" s="12">
        <v>3542507</v>
      </c>
      <c r="I17" s="7">
        <f>SUM(H17/$H$35*0.25)</f>
        <v>2.2216275177684697E-2</v>
      </c>
      <c r="J17" s="14">
        <f>E17+G17+I17</f>
        <v>0.13577673451916233</v>
      </c>
      <c r="K17" s="12">
        <f>ROUND(J17*$K$37,0)</f>
        <v>471710</v>
      </c>
      <c r="L17" s="15">
        <f>C17+K17</f>
        <v>938551</v>
      </c>
      <c r="M17" s="18">
        <f>ROUND(346998*L17/$L$35,0)</f>
        <v>38968</v>
      </c>
      <c r="N17" s="13">
        <f>SUM(L17:M17)</f>
        <v>977519</v>
      </c>
      <c r="O17" s="13">
        <v>954579</v>
      </c>
      <c r="P17" s="18">
        <f>N17-O17</f>
        <v>22940</v>
      </c>
      <c r="Q17" s="38">
        <f>SUM(P17/O17)</f>
        <v>2.4031536415529776E-2</v>
      </c>
    </row>
    <row r="18" spans="1:17">
      <c r="A18" s="21"/>
      <c r="C18" s="2"/>
      <c r="D18" s="1"/>
      <c r="E18" s="22"/>
      <c r="H18" s="2"/>
      <c r="L18" s="16"/>
      <c r="M18" s="19"/>
      <c r="N18" s="26"/>
      <c r="O18" s="26"/>
      <c r="P18" s="8"/>
      <c r="Q18" s="39"/>
    </row>
    <row r="19" spans="1:17">
      <c r="A19" s="21"/>
      <c r="B19" t="s">
        <v>14</v>
      </c>
      <c r="C19" s="12">
        <f>ROUND('[1]2008 Svcs and Adm Alloca  updat'!Z19*0.07,0)</f>
        <v>415478</v>
      </c>
      <c r="D19" s="11">
        <v>431649</v>
      </c>
      <c r="E19" s="7">
        <f>SUM(D19/$D$35*0.5)</f>
        <v>4.84495327889553E-2</v>
      </c>
      <c r="F19" s="14">
        <v>7</v>
      </c>
      <c r="G19" s="7">
        <f>SUM(F19/$F$35*0.25)</f>
        <v>2.6119402985074626E-2</v>
      </c>
      <c r="H19" s="12">
        <v>3824622</v>
      </c>
      <c r="I19" s="7">
        <f>SUM(H19/$H$35*0.25)</f>
        <v>2.3985515004663872E-2</v>
      </c>
      <c r="J19" s="14">
        <f>E19+G19+I19</f>
        <v>9.8554450778693792E-2</v>
      </c>
      <c r="K19" s="12">
        <f>ROUND(J19*$K$37,0)</f>
        <v>342394</v>
      </c>
      <c r="L19" s="15">
        <f>C19+K19</f>
        <v>757872</v>
      </c>
      <c r="M19" s="18">
        <f>ROUND(346998*L19/$L$35,0)</f>
        <v>31466</v>
      </c>
      <c r="N19" s="13">
        <f>SUM(L19:M19)</f>
        <v>789338</v>
      </c>
      <c r="O19" s="13">
        <v>770394</v>
      </c>
      <c r="P19" s="18">
        <f>N19-O19</f>
        <v>18944</v>
      </c>
      <c r="Q19" s="38">
        <f>SUM(P19/O19)</f>
        <v>2.4590014979348231E-2</v>
      </c>
    </row>
    <row r="20" spans="1:17">
      <c r="A20" s="21"/>
      <c r="C20" s="2"/>
      <c r="D20" s="1"/>
      <c r="E20" s="22"/>
      <c r="H20" s="2"/>
      <c r="L20" s="16"/>
      <c r="M20" s="19"/>
      <c r="N20" s="26"/>
      <c r="O20" s="26"/>
      <c r="P20" s="8"/>
      <c r="Q20" s="39"/>
    </row>
    <row r="21" spans="1:17">
      <c r="A21" s="21"/>
      <c r="B21" t="s">
        <v>15</v>
      </c>
      <c r="C21" s="12">
        <f>ROUND('[1]2008 Svcs and Adm Alloca  updat'!Z21*0.07,0)</f>
        <v>383594</v>
      </c>
      <c r="D21" s="11">
        <v>399885</v>
      </c>
      <c r="E21" s="7">
        <f>SUM(D21/$D$35*0.5)</f>
        <v>4.4884249515952518E-2</v>
      </c>
      <c r="F21" s="14">
        <v>2</v>
      </c>
      <c r="G21" s="7">
        <f>SUM(F21/$F$35*0.25)</f>
        <v>7.462686567164179E-3</v>
      </c>
      <c r="H21" s="12">
        <v>5660993</v>
      </c>
      <c r="I21" s="7">
        <f>SUM(H21/$H$35*0.25)</f>
        <v>3.5502026747426842E-2</v>
      </c>
      <c r="J21" s="14">
        <f>E21+G21+I21</f>
        <v>8.7848962830543539E-2</v>
      </c>
      <c r="K21" s="12">
        <f>ROUND(J21*$K$37,0)</f>
        <v>305201</v>
      </c>
      <c r="L21" s="15">
        <f>C21+K21</f>
        <v>688795</v>
      </c>
      <c r="M21" s="18">
        <f>ROUND(346998*L21/$L$35,0)</f>
        <v>28598</v>
      </c>
      <c r="N21" s="13">
        <f>SUM(L21:M21)</f>
        <v>717393</v>
      </c>
      <c r="O21" s="13">
        <v>705727</v>
      </c>
      <c r="P21" s="18">
        <f>N21-O21</f>
        <v>11666</v>
      </c>
      <c r="Q21" s="38">
        <f>SUM(P21/O21)</f>
        <v>1.6530471414583827E-2</v>
      </c>
    </row>
    <row r="22" spans="1:17">
      <c r="A22" s="21"/>
      <c r="C22" s="2"/>
      <c r="D22" s="1"/>
      <c r="E22" s="22"/>
      <c r="H22" s="2"/>
      <c r="L22" s="16"/>
      <c r="M22" s="19"/>
      <c r="N22" s="26"/>
      <c r="O22" s="26"/>
      <c r="P22" s="8"/>
      <c r="Q22" s="39"/>
    </row>
    <row r="23" spans="1:17">
      <c r="A23" s="21"/>
      <c r="B23" t="s">
        <v>17</v>
      </c>
      <c r="C23" s="12">
        <f>ROUND('[1]2008 Svcs and Adm Alloca  updat'!Z23*0.07,0)</f>
        <v>533633</v>
      </c>
      <c r="D23" s="11">
        <v>494175</v>
      </c>
      <c r="E23" s="7">
        <f>SUM(D23/$D$35*0.5)</f>
        <v>5.5467631955551815E-2</v>
      </c>
      <c r="F23" s="14">
        <v>5</v>
      </c>
      <c r="G23" s="7">
        <f>SUM(F23/$F$35*0.25)</f>
        <v>1.8656716417910446E-2</v>
      </c>
      <c r="H23" s="12">
        <v>4115624</v>
      </c>
      <c r="I23" s="7">
        <f>SUM(H23/$H$35*0.25)</f>
        <v>2.5810488253624735E-2</v>
      </c>
      <c r="J23" s="14">
        <f>E23+G23+I23</f>
        <v>9.9934836627087006E-2</v>
      </c>
      <c r="K23" s="12">
        <f>ROUND(J23*$K$37,0)</f>
        <v>347189</v>
      </c>
      <c r="L23" s="15">
        <f>C23+K23</f>
        <v>880822</v>
      </c>
      <c r="M23" s="18">
        <f>ROUND(346998*L23/$L$35,0)</f>
        <v>36571</v>
      </c>
      <c r="N23" s="13">
        <f>SUM(L23:M23)</f>
        <v>917393</v>
      </c>
      <c r="O23" s="13">
        <v>901739</v>
      </c>
      <c r="P23" s="18">
        <f>N23-O23</f>
        <v>15654</v>
      </c>
      <c r="Q23" s="38">
        <f>SUM(P23/O23)</f>
        <v>1.7359790360625415E-2</v>
      </c>
    </row>
    <row r="24" spans="1:17">
      <c r="A24" s="21"/>
      <c r="C24" s="2"/>
      <c r="D24" s="1"/>
      <c r="E24" s="22"/>
      <c r="H24" s="2"/>
      <c r="L24" s="16"/>
      <c r="M24" s="19"/>
      <c r="N24" s="26"/>
      <c r="O24" s="26"/>
      <c r="P24" s="8"/>
      <c r="Q24" s="39"/>
    </row>
    <row r="25" spans="1:17">
      <c r="A25" s="21"/>
      <c r="B25" t="s">
        <v>21</v>
      </c>
      <c r="C25" s="12">
        <f>ROUND('[1]2008 Svcs and Adm Alloca  updat'!Z25*0.07,0)</f>
        <v>397485</v>
      </c>
      <c r="D25" s="11">
        <v>426871</v>
      </c>
      <c r="E25" s="7">
        <f>SUM(D25/$D$35*0.5)</f>
        <v>4.791323624323035E-2</v>
      </c>
      <c r="F25" s="14">
        <v>4</v>
      </c>
      <c r="G25" s="7">
        <f>SUM(F25/$F$35*0.25)</f>
        <v>1.4925373134328358E-2</v>
      </c>
      <c r="H25" s="12">
        <v>3028108</v>
      </c>
      <c r="I25" s="7">
        <f>SUM(H25/$H$35*0.25)</f>
        <v>1.89903027984838E-2</v>
      </c>
      <c r="J25" s="14">
        <f>E25+G25+I25</f>
        <v>8.1828912176042518E-2</v>
      </c>
      <c r="K25" s="12">
        <f>ROUND(J25*$K$37,0)</f>
        <v>284287</v>
      </c>
      <c r="L25" s="15">
        <f>C25+K25</f>
        <v>681772</v>
      </c>
      <c r="M25" s="18">
        <f>ROUND(346998*L25/$L$35,0)</f>
        <v>28307</v>
      </c>
      <c r="N25" s="13">
        <f>SUM(L25:M25)</f>
        <v>710079</v>
      </c>
      <c r="O25" s="13">
        <v>696510</v>
      </c>
      <c r="P25" s="18">
        <f>N25-O25</f>
        <v>13569</v>
      </c>
      <c r="Q25" s="38">
        <f>SUM(P25/O25)</f>
        <v>1.9481414480768403E-2</v>
      </c>
    </row>
    <row r="26" spans="1:17">
      <c r="A26" s="21"/>
      <c r="C26" s="2"/>
      <c r="D26" s="1"/>
      <c r="E26" s="22"/>
      <c r="H26" s="2"/>
      <c r="L26" s="16"/>
      <c r="M26" s="19"/>
      <c r="N26" s="26"/>
      <c r="O26" s="26"/>
      <c r="P26" s="8"/>
      <c r="Q26" s="39"/>
    </row>
    <row r="27" spans="1:17">
      <c r="A27" s="21"/>
      <c r="B27" t="s">
        <v>23</v>
      </c>
      <c r="C27" s="12">
        <f>ROUND('[1]2008 Svcs and Adm Alloca  updat'!Z27*0.07,0)</f>
        <v>408079</v>
      </c>
      <c r="D27" s="11">
        <v>546975</v>
      </c>
      <c r="E27" s="7">
        <f>SUM(D27/$D$35*0.5)</f>
        <v>6.1394056738782725E-2</v>
      </c>
      <c r="F27" s="14">
        <v>7</v>
      </c>
      <c r="G27" s="7">
        <f>SUM(F27/$F$35*0.25)</f>
        <v>2.6119402985074626E-2</v>
      </c>
      <c r="H27" s="12">
        <v>3728399</v>
      </c>
      <c r="I27" s="7">
        <f>SUM(H27/$H$35*0.25)</f>
        <v>2.3382067602464709E-2</v>
      </c>
      <c r="J27" s="14">
        <f>E27+G27+I27</f>
        <v>0.11089552732632206</v>
      </c>
      <c r="K27" s="12">
        <f>ROUND(J27*$K$37,0)</f>
        <v>385269</v>
      </c>
      <c r="L27" s="15">
        <f>C27+K27</f>
        <v>793348</v>
      </c>
      <c r="M27" s="18">
        <f>ROUND(346998*L27/$L$35,0)</f>
        <v>32939</v>
      </c>
      <c r="N27" s="13">
        <f>SUM(L27:M27)</f>
        <v>826287</v>
      </c>
      <c r="O27" s="13">
        <v>810775</v>
      </c>
      <c r="P27" s="18">
        <f>N27-O27</f>
        <v>15512</v>
      </c>
      <c r="Q27" s="38">
        <f>SUM(P27/O27)</f>
        <v>1.913231167709907E-2</v>
      </c>
    </row>
    <row r="28" spans="1:17">
      <c r="A28" s="21"/>
      <c r="C28" s="2"/>
      <c r="D28" s="1"/>
      <c r="E28" s="22"/>
      <c r="H28" s="2"/>
      <c r="L28" s="16"/>
      <c r="M28" s="19"/>
      <c r="N28" s="26"/>
      <c r="O28" s="26"/>
      <c r="P28" s="8"/>
      <c r="Q28" s="39"/>
    </row>
    <row r="29" spans="1:17">
      <c r="A29" s="21"/>
      <c r="B29" t="s">
        <v>24</v>
      </c>
      <c r="C29" s="12">
        <f>ROUND('[1]2008 Svcs and Adm Alloca  updat'!Z29*0.07,0)</f>
        <v>487403</v>
      </c>
      <c r="D29" s="11">
        <v>548353</v>
      </c>
      <c r="E29" s="7">
        <f>SUM(D29/$D$35*0.5)</f>
        <v>6.1548727446193566E-2</v>
      </c>
      <c r="F29" s="14">
        <v>5</v>
      </c>
      <c r="G29" s="7">
        <f>SUM(F29/$F$35*0.25)</f>
        <v>1.8656716417910446E-2</v>
      </c>
      <c r="H29" s="12">
        <v>3436226</v>
      </c>
      <c r="I29" s="7">
        <f>SUM(H29/$H$35*0.25)</f>
        <v>2.1549750611280311E-2</v>
      </c>
      <c r="J29" s="14">
        <f>E29+G29+I29</f>
        <v>0.10175519447538432</v>
      </c>
      <c r="K29" s="12">
        <f>ROUND(J29*$K$37,0)</f>
        <v>353514</v>
      </c>
      <c r="L29" s="15">
        <f>C29+K29</f>
        <v>840917</v>
      </c>
      <c r="M29" s="18">
        <f>ROUND(346998*L29/$L$35,0)</f>
        <v>34914</v>
      </c>
      <c r="N29" s="13">
        <f>SUM(L29:M29)</f>
        <v>875831</v>
      </c>
      <c r="O29" s="13">
        <v>862625</v>
      </c>
      <c r="P29" s="18">
        <f>N29-O29</f>
        <v>13206</v>
      </c>
      <c r="Q29" s="38">
        <f>SUM(P29/O29)</f>
        <v>1.5309085639762353E-2</v>
      </c>
    </row>
    <row r="30" spans="1:17">
      <c r="A30" s="21"/>
      <c r="C30" s="2"/>
      <c r="D30" s="1"/>
      <c r="E30" s="22"/>
      <c r="H30" s="2"/>
      <c r="L30" s="16"/>
      <c r="M30" s="19"/>
      <c r="N30" s="26"/>
      <c r="O30" s="26"/>
      <c r="P30" s="8"/>
      <c r="Q30" s="39"/>
    </row>
    <row r="31" spans="1:17">
      <c r="A31" s="21"/>
      <c r="B31" t="s">
        <v>9</v>
      </c>
      <c r="C31" s="12">
        <f>ROUND('[1]2008 Svcs and Adm Alloca  updat'!Z31*0.07,0)</f>
        <v>402307</v>
      </c>
      <c r="D31" s="11">
        <v>345063</v>
      </c>
      <c r="E31" s="7">
        <f>SUM(D31/$D$35*0.5)</f>
        <v>3.8730869601818332E-2</v>
      </c>
      <c r="F31" s="14">
        <v>1</v>
      </c>
      <c r="G31" s="7">
        <f>SUM(F31/$F$35*0.25)</f>
        <v>3.7313432835820895E-3</v>
      </c>
      <c r="H31" s="12">
        <v>5362523</v>
      </c>
      <c r="I31" s="7">
        <f>SUM(H31/$H$35*0.25)</f>
        <v>3.3630219111680876E-2</v>
      </c>
      <c r="J31" s="14">
        <f>E31+G31+I31</f>
        <v>7.6092431997081295E-2</v>
      </c>
      <c r="K31" s="12">
        <f>ROUND(J31*$K$37,0)</f>
        <v>264357</v>
      </c>
      <c r="L31" s="15">
        <f>C31+K31</f>
        <v>666664</v>
      </c>
      <c r="M31" s="18">
        <f>ROUND(346998*L31/$L$35,0)</f>
        <v>27679</v>
      </c>
      <c r="N31" s="13">
        <f>SUM(L31:M31)</f>
        <v>694343</v>
      </c>
      <c r="O31" s="13">
        <v>685106</v>
      </c>
      <c r="P31" s="18">
        <f>N31-O31</f>
        <v>9237</v>
      </c>
      <c r="Q31" s="38">
        <f>SUM(P31/O31)</f>
        <v>1.348258517660041E-2</v>
      </c>
    </row>
    <row r="32" spans="1:17">
      <c r="A32" s="21"/>
      <c r="C32" s="2"/>
      <c r="D32" s="1"/>
      <c r="E32" s="22"/>
      <c r="H32" s="2"/>
      <c r="L32" s="16"/>
      <c r="M32" s="19"/>
      <c r="N32" s="26"/>
      <c r="O32" s="26"/>
      <c r="P32" s="8"/>
      <c r="Q32" s="39"/>
    </row>
    <row r="33" spans="1:17">
      <c r="A33" s="21"/>
      <c r="B33" s="14" t="s">
        <v>10</v>
      </c>
      <c r="C33" s="12">
        <f>ROUND('[1]2008 Svcs and Adm Alloca  updat'!Z33*0.07,0)</f>
        <v>928586</v>
      </c>
      <c r="D33" s="11">
        <v>496169</v>
      </c>
      <c r="E33" s="7">
        <f>SUM(D33/$D$35*0.5)</f>
        <v>5.5691444285433676E-2</v>
      </c>
      <c r="F33" s="14">
        <v>2</v>
      </c>
      <c r="G33" s="7">
        <f>SUM(F33/$F$35*0.25)</f>
        <v>7.462686567164179E-3</v>
      </c>
      <c r="H33" s="12">
        <v>4482714</v>
      </c>
      <c r="I33" s="7">
        <f>SUM(H33/$H$35*0.25)</f>
        <v>2.8112635420864285E-2</v>
      </c>
      <c r="J33" s="14">
        <f>E33+G33+I33</f>
        <v>9.1266766273462141E-2</v>
      </c>
      <c r="K33" s="12">
        <f>ROUND(J33*$K$37,0)</f>
        <v>317075</v>
      </c>
      <c r="L33" s="15">
        <f>C33+K33</f>
        <v>1245661</v>
      </c>
      <c r="M33" s="18">
        <f>ROUND(346998*L33/$L$35,0)</f>
        <v>51719</v>
      </c>
      <c r="N33" s="13">
        <f>SUM(L33:M33)</f>
        <v>1297380</v>
      </c>
      <c r="O33" s="13">
        <v>1283791</v>
      </c>
      <c r="P33" s="18">
        <f>N33-O33</f>
        <v>13589</v>
      </c>
      <c r="Q33" s="38">
        <f>SUM(P33/O33)</f>
        <v>1.0585056290315168E-2</v>
      </c>
    </row>
    <row r="34" spans="1:17">
      <c r="A34" s="21"/>
      <c r="C34" s="2"/>
      <c r="D34" s="1"/>
      <c r="E34" s="22"/>
      <c r="H34" s="2"/>
      <c r="L34" s="16"/>
      <c r="M34" s="19"/>
      <c r="N34" s="26"/>
      <c r="O34" s="2"/>
      <c r="P34" s="8"/>
      <c r="Q34" s="39"/>
    </row>
    <row r="35" spans="1:17">
      <c r="A35" s="21"/>
      <c r="B35" t="s">
        <v>74</v>
      </c>
      <c r="C35" s="2">
        <f>SUM(C13:C33)</f>
        <v>4883406</v>
      </c>
      <c r="D35" s="1">
        <f t="shared" ref="D35:J35" si="0">SUM(D13:D33)</f>
        <v>4454625</v>
      </c>
      <c r="E35" s="22">
        <f t="shared" si="0"/>
        <v>0.5</v>
      </c>
      <c r="F35">
        <f t="shared" si="0"/>
        <v>67</v>
      </c>
      <c r="G35" s="22">
        <f t="shared" si="0"/>
        <v>0.24999999999999997</v>
      </c>
      <c r="H35" s="2">
        <f t="shared" si="0"/>
        <v>39863872</v>
      </c>
      <c r="I35" s="22">
        <f t="shared" si="0"/>
        <v>0.25</v>
      </c>
      <c r="J35" s="22">
        <f t="shared" si="0"/>
        <v>0.99999999999999978</v>
      </c>
      <c r="K35" s="2">
        <f>SUM(K13:K33)</f>
        <v>3474159</v>
      </c>
      <c r="L35" s="16">
        <f>SUM(L13:L33)</f>
        <v>8357565</v>
      </c>
      <c r="M35" s="19">
        <f>SUM(M13:M33)</f>
        <v>346998</v>
      </c>
      <c r="N35" s="26">
        <f>SUM(N13:N33)</f>
        <v>8704563</v>
      </c>
      <c r="O35" s="2">
        <v>8549314</v>
      </c>
      <c r="P35" s="19">
        <f>SUM(P13:P33)</f>
        <v>155249</v>
      </c>
      <c r="Q35" s="39">
        <f>SUM(P35/O35)</f>
        <v>1.8159234764333138E-2</v>
      </c>
    </row>
    <row r="36" spans="1:17">
      <c r="A36" s="23"/>
      <c r="B36" s="27"/>
      <c r="C36" s="27"/>
      <c r="D36" s="24"/>
      <c r="E36" s="27"/>
      <c r="F36" s="27"/>
      <c r="G36" s="27"/>
      <c r="H36" s="28"/>
      <c r="I36" s="27"/>
      <c r="J36" s="27"/>
      <c r="K36" s="27"/>
      <c r="L36" s="17"/>
      <c r="M36" s="20"/>
      <c r="N36" s="29"/>
      <c r="O36" s="27"/>
      <c r="P36" s="9"/>
      <c r="Q36" s="25"/>
    </row>
    <row r="37" spans="1:17">
      <c r="I37" t="s">
        <v>31</v>
      </c>
      <c r="K37" s="2">
        <f>'oaa 2010'!B25-C35</f>
        <v>3474158.7800000003</v>
      </c>
      <c r="L37" s="2"/>
      <c r="M37" s="2"/>
      <c r="N37" s="2"/>
    </row>
    <row r="38" spans="1:17" ht="15.75">
      <c r="B38" s="6"/>
      <c r="C38" s="6" t="s">
        <v>6</v>
      </c>
      <c r="D38" s="40" t="s">
        <v>237</v>
      </c>
      <c r="L38" s="2"/>
      <c r="M38" s="2"/>
      <c r="N38" s="2"/>
    </row>
    <row r="39" spans="1:17" ht="15.75">
      <c r="B39" s="6"/>
      <c r="C39" s="6" t="s">
        <v>7</v>
      </c>
      <c r="D39" s="6" t="s">
        <v>35</v>
      </c>
      <c r="P39" s="41"/>
    </row>
    <row r="40" spans="1:17">
      <c r="O40" s="41"/>
    </row>
  </sheetData>
  <phoneticPr fontId="5" type="noConversion"/>
  <pageMargins left="0.75" right="0.75" top="1" bottom="1" header="0.5" footer="0.5"/>
  <pageSetup paperSize="5" scale="5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O84"/>
  <sheetViews>
    <sheetView topLeftCell="I6" zoomScaleNormal="100" workbookViewId="0">
      <selection activeCell="O6" sqref="O6"/>
    </sheetView>
  </sheetViews>
  <sheetFormatPr defaultColWidth="7.109375" defaultRowHeight="12.75"/>
  <cols>
    <col min="1" max="1" width="4.5546875" style="169" customWidth="1"/>
    <col min="2" max="2" width="10.77734375" style="169" customWidth="1"/>
    <col min="3" max="3" width="9.21875" style="169" customWidth="1"/>
    <col min="4" max="4" width="8.77734375" style="169" customWidth="1"/>
    <col min="5" max="5" width="9.21875" style="169" customWidth="1"/>
    <col min="6" max="6" width="8.77734375" style="169" customWidth="1"/>
    <col min="7" max="7" width="9.6640625" style="169" customWidth="1"/>
    <col min="8" max="8" width="13.21875" style="169" customWidth="1"/>
    <col min="9" max="9" width="11.33203125" style="169" customWidth="1"/>
    <col min="10" max="10" width="9.21875" style="169" customWidth="1"/>
    <col min="11" max="11" width="14" style="169" customWidth="1"/>
    <col min="12" max="12" width="13.77734375" style="169" customWidth="1"/>
    <col min="13" max="13" width="14.5546875" style="169" customWidth="1"/>
    <col min="14" max="14" width="12" style="169" customWidth="1"/>
    <col min="15" max="15" width="14.44140625" style="169" customWidth="1"/>
    <col min="16" max="16384" width="7.109375" style="171"/>
  </cols>
  <sheetData>
    <row r="2" spans="1:15" ht="18.75">
      <c r="G2" s="170"/>
      <c r="I2" s="170" t="s">
        <v>138</v>
      </c>
      <c r="K2" s="170"/>
      <c r="L2" s="170"/>
      <c r="M2" s="170"/>
      <c r="N2" s="170"/>
    </row>
    <row r="3" spans="1:15" ht="18.75">
      <c r="F3" s="170"/>
      <c r="H3" s="170" t="s">
        <v>139</v>
      </c>
      <c r="I3" s="170"/>
      <c r="J3" s="170"/>
      <c r="K3" s="170"/>
      <c r="L3" s="170"/>
      <c r="M3" s="170"/>
      <c r="N3" s="170"/>
    </row>
    <row r="4" spans="1:15" ht="15.75">
      <c r="H4" s="172"/>
      <c r="I4" s="173" t="s">
        <v>86</v>
      </c>
    </row>
    <row r="5" spans="1:15" ht="15.75">
      <c r="A5" s="167"/>
      <c r="B5" s="167"/>
      <c r="C5" s="167"/>
      <c r="D5" s="167"/>
      <c r="E5" s="167"/>
      <c r="F5" s="167"/>
      <c r="G5" s="167"/>
      <c r="H5" s="167"/>
      <c r="I5" s="174"/>
      <c r="J5" s="167"/>
      <c r="K5" s="167"/>
      <c r="L5" s="167"/>
      <c r="M5" s="167"/>
      <c r="N5" s="167"/>
      <c r="O5" s="167"/>
    </row>
    <row r="6" spans="1:15" ht="15.75">
      <c r="A6" s="167"/>
      <c r="B6" s="167"/>
      <c r="C6" s="167"/>
      <c r="D6" s="167"/>
      <c r="E6" s="167"/>
      <c r="F6" s="167"/>
      <c r="G6" s="167"/>
      <c r="H6" s="167"/>
      <c r="I6" s="174"/>
      <c r="J6" s="167"/>
      <c r="K6" s="167"/>
      <c r="L6" s="167"/>
      <c r="M6" s="167"/>
      <c r="N6" s="167"/>
      <c r="O6" s="167"/>
    </row>
    <row r="7" spans="1:15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</row>
    <row r="8" spans="1:15">
      <c r="A8" s="175"/>
      <c r="B8" s="424" t="s">
        <v>243</v>
      </c>
      <c r="C8" s="425"/>
      <c r="D8" s="424" t="s">
        <v>243</v>
      </c>
      <c r="E8" s="425"/>
      <c r="F8" s="424" t="s">
        <v>243</v>
      </c>
      <c r="G8" s="425"/>
      <c r="H8" s="424" t="s">
        <v>243</v>
      </c>
      <c r="I8" s="425"/>
      <c r="J8" s="176"/>
      <c r="K8" s="176">
        <v>2003</v>
      </c>
      <c r="L8" s="176">
        <v>2003</v>
      </c>
      <c r="M8" s="176">
        <v>2003</v>
      </c>
      <c r="N8" s="176">
        <v>2003</v>
      </c>
      <c r="O8" s="175"/>
    </row>
    <row r="9" spans="1:15">
      <c r="A9" s="177"/>
      <c r="B9" s="429" t="s">
        <v>4</v>
      </c>
      <c r="C9" s="430"/>
      <c r="D9" s="429" t="s">
        <v>19</v>
      </c>
      <c r="E9" s="430"/>
      <c r="F9" s="429" t="s">
        <v>20</v>
      </c>
      <c r="G9" s="430"/>
      <c r="H9" s="426" t="s">
        <v>128</v>
      </c>
      <c r="I9" s="427"/>
      <c r="J9" s="178" t="s">
        <v>74</v>
      </c>
      <c r="K9" s="178" t="s">
        <v>72</v>
      </c>
      <c r="L9" s="178" t="s">
        <v>70</v>
      </c>
      <c r="M9" s="178" t="s">
        <v>71</v>
      </c>
      <c r="N9" s="178" t="s">
        <v>73</v>
      </c>
      <c r="O9" s="178" t="s">
        <v>74</v>
      </c>
    </row>
    <row r="10" spans="1:15">
      <c r="A10" s="177" t="s">
        <v>66</v>
      </c>
      <c r="B10" s="431" t="s">
        <v>3</v>
      </c>
      <c r="C10" s="432"/>
      <c r="D10" s="431" t="s">
        <v>3</v>
      </c>
      <c r="E10" s="432"/>
      <c r="F10" s="429" t="s">
        <v>54</v>
      </c>
      <c r="G10" s="430"/>
      <c r="H10" s="426" t="s">
        <v>129</v>
      </c>
      <c r="I10" s="427"/>
      <c r="J10" s="178" t="s">
        <v>46</v>
      </c>
      <c r="K10" s="178" t="s">
        <v>69</v>
      </c>
      <c r="L10" s="178" t="s">
        <v>40</v>
      </c>
      <c r="M10" s="178" t="s">
        <v>50</v>
      </c>
      <c r="N10" s="178" t="s">
        <v>56</v>
      </c>
      <c r="O10" s="178" t="s">
        <v>67</v>
      </c>
    </row>
    <row r="11" spans="1:15">
      <c r="A11" s="177"/>
      <c r="B11" s="179" t="s">
        <v>60</v>
      </c>
      <c r="C11" s="180" t="s">
        <v>45</v>
      </c>
      <c r="D11" s="179" t="s">
        <v>60</v>
      </c>
      <c r="E11" s="180" t="s">
        <v>45</v>
      </c>
      <c r="F11" s="179" t="s">
        <v>60</v>
      </c>
      <c r="G11" s="180" t="s">
        <v>45</v>
      </c>
      <c r="H11" s="179" t="s">
        <v>60</v>
      </c>
      <c r="I11" s="180" t="s">
        <v>45</v>
      </c>
      <c r="J11" s="178"/>
      <c r="K11" s="178" t="s">
        <v>67</v>
      </c>
      <c r="L11" s="178" t="s">
        <v>53</v>
      </c>
      <c r="M11" s="178" t="s">
        <v>53</v>
      </c>
      <c r="N11" s="178" t="s">
        <v>38</v>
      </c>
      <c r="O11" s="178" t="s">
        <v>88</v>
      </c>
    </row>
    <row r="12" spans="1:15">
      <c r="A12" s="181"/>
      <c r="B12" s="182"/>
      <c r="C12" s="183"/>
      <c r="D12" s="182"/>
      <c r="E12" s="183"/>
      <c r="F12" s="182"/>
      <c r="G12" s="183"/>
      <c r="H12" s="182"/>
      <c r="I12" s="183"/>
      <c r="J12" s="184"/>
      <c r="K12" s="185" t="s">
        <v>87</v>
      </c>
      <c r="L12" s="185" t="s">
        <v>87</v>
      </c>
      <c r="M12" s="185" t="s">
        <v>87</v>
      </c>
      <c r="N12" s="185" t="s">
        <v>87</v>
      </c>
      <c r="O12" s="181"/>
    </row>
    <row r="13" spans="1:15" s="190" customFormat="1">
      <c r="A13" s="186" t="s">
        <v>8</v>
      </c>
      <c r="B13" s="222">
        <v>146154</v>
      </c>
      <c r="C13" s="188">
        <f>SUM(B13/$B$35*0.35)</f>
        <v>1.1483323512080141E-2</v>
      </c>
      <c r="D13" s="222">
        <v>12457</v>
      </c>
      <c r="E13" s="188">
        <f>SUM(D13/$D$35*0.35)</f>
        <v>1.0596265502684337E-2</v>
      </c>
      <c r="F13" s="187">
        <v>6342</v>
      </c>
      <c r="G13" s="188">
        <f>SUM(F13/$F$35*0.15)</f>
        <v>3.1077977530292291E-3</v>
      </c>
      <c r="H13" s="187">
        <v>10181</v>
      </c>
      <c r="I13" s="188">
        <f>SUM(H13/$H$35*0.15)</f>
        <v>5.8329131909432581E-3</v>
      </c>
      <c r="J13" s="188">
        <f>I13+C13+E13+G13</f>
        <v>3.1020299958736963E-2</v>
      </c>
      <c r="K13" s="189">
        <v>728288</v>
      </c>
      <c r="L13" s="189">
        <v>699077</v>
      </c>
      <c r="M13" s="189">
        <v>368452</v>
      </c>
      <c r="N13" s="189">
        <v>276870</v>
      </c>
      <c r="O13" s="189">
        <f>SUM(K13:N13)</f>
        <v>2072687</v>
      </c>
    </row>
    <row r="14" spans="1:15" s="190" customFormat="1">
      <c r="A14" s="186"/>
      <c r="B14" s="222"/>
      <c r="C14" s="188"/>
      <c r="D14" s="222"/>
      <c r="E14" s="188"/>
      <c r="F14" s="186"/>
      <c r="G14" s="186"/>
      <c r="H14" s="186"/>
      <c r="I14" s="186"/>
      <c r="J14" s="186"/>
      <c r="K14" s="189"/>
      <c r="L14" s="189"/>
      <c r="M14" s="189"/>
      <c r="N14" s="189"/>
      <c r="O14" s="189"/>
    </row>
    <row r="15" spans="1:15" s="190" customFormat="1">
      <c r="A15" s="186" t="s">
        <v>11</v>
      </c>
      <c r="B15" s="222">
        <v>139488</v>
      </c>
      <c r="C15" s="188">
        <f>SUM(B15/$B$35*0.35)</f>
        <v>1.0959575721862109E-2</v>
      </c>
      <c r="D15" s="222">
        <v>17846</v>
      </c>
      <c r="E15" s="188">
        <f>SUM(D15/$D$35*0.35)</f>
        <v>1.5180296553014743E-2</v>
      </c>
      <c r="F15" s="187">
        <v>9779</v>
      </c>
      <c r="G15" s="188">
        <f>SUM(F15/$F$35*0.15)</f>
        <v>4.7920457626731043E-3</v>
      </c>
      <c r="H15" s="187">
        <v>10804</v>
      </c>
      <c r="I15" s="188">
        <f>SUM(H15/$H$35*0.15)</f>
        <v>6.1898432486937388E-3</v>
      </c>
      <c r="J15" s="188">
        <f>I15+C15+E15+G15</f>
        <v>3.7121761286243699E-2</v>
      </c>
      <c r="K15" s="189">
        <v>839980</v>
      </c>
      <c r="L15" s="189">
        <v>806289</v>
      </c>
      <c r="M15" s="189">
        <v>424959</v>
      </c>
      <c r="N15" s="189">
        <v>319331</v>
      </c>
      <c r="O15" s="189">
        <f>SUM(K15:N15)</f>
        <v>2390559</v>
      </c>
    </row>
    <row r="16" spans="1:15" s="190" customFormat="1">
      <c r="A16" s="186"/>
      <c r="B16" s="222"/>
      <c r="C16" s="188"/>
      <c r="D16" s="222"/>
      <c r="E16" s="188"/>
      <c r="F16" s="186"/>
      <c r="G16" s="186"/>
      <c r="H16" s="186"/>
      <c r="I16" s="186"/>
      <c r="J16" s="186"/>
      <c r="K16" s="189"/>
      <c r="L16" s="189"/>
      <c r="M16" s="189"/>
      <c r="N16" s="189"/>
      <c r="O16" s="189"/>
    </row>
    <row r="17" spans="1:15" s="190" customFormat="1">
      <c r="A17" s="186" t="s">
        <v>13</v>
      </c>
      <c r="B17" s="222">
        <v>479843</v>
      </c>
      <c r="C17" s="188">
        <f>SUM(B17/$B$35*0.35)</f>
        <v>3.7701276762914945E-2</v>
      </c>
      <c r="D17" s="222">
        <v>42641</v>
      </c>
      <c r="E17" s="188">
        <f>SUM(D17/$D$35*0.35)</f>
        <v>3.6271602897966028E-2</v>
      </c>
      <c r="F17" s="187">
        <v>18136</v>
      </c>
      <c r="G17" s="188">
        <f>SUM(F17/$F$35*0.15)</f>
        <v>8.8872627008732413E-3</v>
      </c>
      <c r="H17" s="187">
        <v>26992</v>
      </c>
      <c r="I17" s="188">
        <f>SUM(H17/$H$35*0.15)</f>
        <v>1.5464295535796133E-2</v>
      </c>
      <c r="J17" s="188">
        <f>I17+C17+E17+G17</f>
        <v>9.832443789755034E-2</v>
      </c>
      <c r="K17" s="189">
        <v>2215211</v>
      </c>
      <c r="L17" s="189">
        <v>2126362</v>
      </c>
      <c r="M17" s="189">
        <v>1120710</v>
      </c>
      <c r="N17" s="189">
        <v>842147</v>
      </c>
      <c r="O17" s="189">
        <f>SUM(K17:N17)</f>
        <v>6304430</v>
      </c>
    </row>
    <row r="18" spans="1:15" s="190" customFormat="1">
      <c r="A18" s="186"/>
      <c r="B18" s="222"/>
      <c r="C18" s="188"/>
      <c r="D18" s="222"/>
      <c r="E18" s="188"/>
      <c r="F18" s="186"/>
      <c r="G18" s="186"/>
      <c r="H18" s="186"/>
      <c r="I18" s="186"/>
      <c r="J18" s="186"/>
      <c r="K18" s="189"/>
      <c r="L18" s="189"/>
      <c r="M18" s="189"/>
      <c r="N18" s="189"/>
      <c r="O18" s="189"/>
    </row>
    <row r="19" spans="1:15" s="190" customFormat="1">
      <c r="A19" s="186" t="s">
        <v>14</v>
      </c>
      <c r="B19" s="222">
        <v>431649</v>
      </c>
      <c r="C19" s="188">
        <f>SUM(B19/$B$35*0.35)</f>
        <v>3.3914672952268708E-2</v>
      </c>
      <c r="D19" s="222">
        <v>36283</v>
      </c>
      <c r="E19" s="188">
        <f>SUM(D19/$D$35*0.35)</f>
        <v>3.0863313898522579E-2</v>
      </c>
      <c r="F19" s="187">
        <v>20849</v>
      </c>
      <c r="G19" s="188">
        <f>SUM(F19/$F$35*0.15)</f>
        <v>1.0216725851924692E-2</v>
      </c>
      <c r="H19" s="187">
        <v>25618</v>
      </c>
      <c r="I19" s="188">
        <f>SUM(H19/$H$35*0.15)</f>
        <v>1.4677101475845632E-2</v>
      </c>
      <c r="J19" s="188">
        <f>I19+C19+E19+G19</f>
        <v>8.9671814178561612E-2</v>
      </c>
      <c r="K19" s="189">
        <v>1969794</v>
      </c>
      <c r="L19" s="189">
        <v>1890788</v>
      </c>
      <c r="M19" s="189">
        <v>996550</v>
      </c>
      <c r="N19" s="189">
        <v>748848</v>
      </c>
      <c r="O19" s="189">
        <f>SUM(K19:N19)</f>
        <v>5605980</v>
      </c>
    </row>
    <row r="20" spans="1:15" s="190" customFormat="1">
      <c r="A20" s="186"/>
      <c r="B20" s="222"/>
      <c r="C20" s="188"/>
      <c r="D20" s="222"/>
      <c r="E20" s="188"/>
      <c r="F20" s="186"/>
      <c r="G20" s="186"/>
      <c r="H20" s="186"/>
      <c r="I20" s="186"/>
      <c r="J20" s="186"/>
      <c r="K20" s="189"/>
      <c r="L20" s="189"/>
      <c r="M20" s="189"/>
      <c r="N20" s="189"/>
      <c r="O20" s="189"/>
    </row>
    <row r="21" spans="1:15" s="190" customFormat="1">
      <c r="A21" s="186" t="s">
        <v>15</v>
      </c>
      <c r="B21" s="222">
        <v>399885</v>
      </c>
      <c r="C21" s="188">
        <f>SUM(B21/$B$35*0.35)</f>
        <v>3.1418974661166763E-2</v>
      </c>
      <c r="D21" s="222">
        <v>33476</v>
      </c>
      <c r="E21" s="188">
        <f>SUM(D21/$D$35*0.35)</f>
        <v>2.8475602791030008E-2</v>
      </c>
      <c r="F21" s="187">
        <v>9153</v>
      </c>
      <c r="G21" s="188">
        <f>SUM(F21/$F$35*0.15)</f>
        <v>4.4852842689177752E-3</v>
      </c>
      <c r="H21" s="187">
        <v>21416</v>
      </c>
      <c r="I21" s="188">
        <f>SUM(H21/$H$35*0.15)</f>
        <v>1.2269685580713173E-2</v>
      </c>
      <c r="J21" s="188">
        <f>I21+C21+E21+G21</f>
        <v>7.6649547301827714E-2</v>
      </c>
      <c r="K21" s="189">
        <v>1821257</v>
      </c>
      <c r="L21" s="189">
        <v>1748209</v>
      </c>
      <c r="M21" s="189">
        <v>921403</v>
      </c>
      <c r="N21" s="189">
        <v>692379</v>
      </c>
      <c r="O21" s="189">
        <f>SUM(K21:N21)</f>
        <v>5183248</v>
      </c>
    </row>
    <row r="22" spans="1:15" s="190" customFormat="1">
      <c r="A22" s="186"/>
      <c r="B22" s="222"/>
      <c r="C22" s="188"/>
      <c r="D22" s="222"/>
      <c r="E22" s="188"/>
      <c r="F22" s="186"/>
      <c r="G22" s="186"/>
      <c r="H22" s="186"/>
      <c r="I22" s="186"/>
      <c r="J22" s="186"/>
      <c r="K22" s="189"/>
      <c r="L22" s="189"/>
      <c r="M22" s="189"/>
      <c r="N22" s="189"/>
      <c r="O22" s="189"/>
    </row>
    <row r="23" spans="1:15" s="190" customFormat="1">
      <c r="A23" s="186" t="s">
        <v>17</v>
      </c>
      <c r="B23" s="222">
        <v>494175</v>
      </c>
      <c r="C23" s="188">
        <f>SUM(B23/$B$35*0.35)</f>
        <v>3.882734236888627E-2</v>
      </c>
      <c r="D23" s="222">
        <v>43987</v>
      </c>
      <c r="E23" s="188">
        <f>SUM(D23/$D$35*0.35)</f>
        <v>3.7416547376300541E-2</v>
      </c>
      <c r="F23" s="187">
        <v>30991</v>
      </c>
      <c r="G23" s="188">
        <f>SUM(F23/$F$35*0.15)</f>
        <v>1.518665407822908E-2</v>
      </c>
      <c r="H23" s="187">
        <v>29775</v>
      </c>
      <c r="I23" s="188">
        <f>SUM(H23/$H$35*0.15)</f>
        <v>1.7058735906132549E-2</v>
      </c>
      <c r="J23" s="188">
        <f>I23+C23+E23+G23</f>
        <v>0.10848927972954844</v>
      </c>
      <c r="K23" s="189">
        <v>2535369</v>
      </c>
      <c r="L23" s="189">
        <v>2433679</v>
      </c>
      <c r="M23" s="189">
        <v>1282683</v>
      </c>
      <c r="N23" s="189">
        <v>963860</v>
      </c>
      <c r="O23" s="189">
        <f>SUM(K23:N23)</f>
        <v>7215591</v>
      </c>
    </row>
    <row r="24" spans="1:15" s="190" customFormat="1">
      <c r="A24" s="186"/>
      <c r="B24" s="222"/>
      <c r="C24" s="188"/>
      <c r="D24" s="222"/>
      <c r="E24" s="188"/>
      <c r="F24" s="186"/>
      <c r="G24" s="186"/>
      <c r="H24" s="186"/>
      <c r="I24" s="186"/>
      <c r="J24" s="186"/>
      <c r="K24" s="189"/>
      <c r="L24" s="189"/>
      <c r="M24" s="189"/>
      <c r="N24" s="189"/>
      <c r="O24" s="189"/>
    </row>
    <row r="25" spans="1:15" s="190" customFormat="1">
      <c r="A25" s="186" t="s">
        <v>21</v>
      </c>
      <c r="B25" s="222">
        <v>426871</v>
      </c>
      <c r="C25" s="188">
        <f>SUM(B25/$B$35*0.35)</f>
        <v>3.3539265370261244E-2</v>
      </c>
      <c r="D25" s="222">
        <v>33349</v>
      </c>
      <c r="E25" s="188">
        <f>SUM(D25/$D$35*0.35)</f>
        <v>2.8367573111424897E-2</v>
      </c>
      <c r="F25" s="187">
        <v>34673</v>
      </c>
      <c r="G25" s="188">
        <f>SUM(F25/$F$35*0.15)</f>
        <v>1.6990960499965697E-2</v>
      </c>
      <c r="H25" s="187">
        <v>24734</v>
      </c>
      <c r="I25" s="188">
        <f>SUM(H25/$H$35*0.15)</f>
        <v>1.4170638921991016E-2</v>
      </c>
      <c r="J25" s="188">
        <f>I25+C25+E25+G25</f>
        <v>9.3068437903642845E-2</v>
      </c>
      <c r="K25" s="189">
        <v>1870352</v>
      </c>
      <c r="L25" s="189">
        <v>1795335</v>
      </c>
      <c r="M25" s="189">
        <v>946241</v>
      </c>
      <c r="N25" s="189">
        <v>711043</v>
      </c>
      <c r="O25" s="189">
        <f>SUM(K25:N25)</f>
        <v>5322971</v>
      </c>
    </row>
    <row r="26" spans="1:15" s="190" customFormat="1">
      <c r="A26" s="186"/>
      <c r="B26" s="222"/>
      <c r="C26" s="188"/>
      <c r="D26" s="222"/>
      <c r="E26" s="188"/>
      <c r="F26" s="186"/>
      <c r="G26" s="186"/>
      <c r="H26" s="186"/>
      <c r="I26" s="186"/>
      <c r="J26" s="186"/>
      <c r="K26" s="189"/>
      <c r="L26" s="189"/>
      <c r="M26" s="189"/>
      <c r="N26" s="189"/>
      <c r="O26" s="189"/>
    </row>
    <row r="27" spans="1:15" s="190" customFormat="1">
      <c r="A27" s="186" t="s">
        <v>23</v>
      </c>
      <c r="B27" s="222">
        <v>546975</v>
      </c>
      <c r="C27" s="188">
        <f>SUM(B27/$B$35*0.35)</f>
        <v>4.2975839717147905E-2</v>
      </c>
      <c r="D27" s="222">
        <v>31259</v>
      </c>
      <c r="E27" s="188">
        <f>SUM(D27/$D$35*0.35)</f>
        <v>2.6589761848632071E-2</v>
      </c>
      <c r="F27" s="187">
        <v>13777</v>
      </c>
      <c r="G27" s="188">
        <f>SUM(F27/$F$35*0.15)</f>
        <v>6.7512030342926025E-3</v>
      </c>
      <c r="H27" s="187">
        <v>23765</v>
      </c>
      <c r="I27" s="188">
        <f>SUM(H27/$H$35*0.15)</f>
        <v>1.3615478045650381E-2</v>
      </c>
      <c r="J27" s="188">
        <f>I27+C27+E27+G27</f>
        <v>8.9932282645722963E-2</v>
      </c>
      <c r="K27" s="189">
        <v>1920416</v>
      </c>
      <c r="L27" s="189">
        <v>1843391</v>
      </c>
      <c r="M27" s="189">
        <v>971569</v>
      </c>
      <c r="N27" s="189">
        <v>730076</v>
      </c>
      <c r="O27" s="189">
        <f>SUM(K27:N27)</f>
        <v>5465452</v>
      </c>
    </row>
    <row r="28" spans="1:15" s="190" customFormat="1">
      <c r="A28" s="186"/>
      <c r="B28" s="222"/>
      <c r="C28" s="188"/>
      <c r="D28" s="222"/>
      <c r="E28" s="188"/>
      <c r="F28" s="186"/>
      <c r="G28" s="186"/>
      <c r="H28" s="186"/>
      <c r="I28" s="186"/>
      <c r="J28" s="186"/>
      <c r="K28" s="189"/>
      <c r="L28" s="189"/>
      <c r="M28" s="189"/>
      <c r="N28" s="189"/>
      <c r="O28" s="189"/>
    </row>
    <row r="29" spans="1:15" s="190" customFormat="1">
      <c r="A29" s="186" t="s">
        <v>24</v>
      </c>
      <c r="B29" s="222">
        <v>548353</v>
      </c>
      <c r="C29" s="188">
        <f>SUM(B29/$B$35*0.35)</f>
        <v>4.3084109212335492E-2</v>
      </c>
      <c r="D29" s="222">
        <v>38583</v>
      </c>
      <c r="E29" s="188">
        <f>SUM(D29/$D$35*0.35)</f>
        <v>3.2819756914993156E-2</v>
      </c>
      <c r="F29" s="187">
        <v>23505</v>
      </c>
      <c r="G29" s="188">
        <f>SUM(F29/$F$35*0.15)</f>
        <v>1.1518257045877014E-2</v>
      </c>
      <c r="H29" s="187">
        <v>26916</v>
      </c>
      <c r="I29" s="188">
        <f>SUM(H29/$H$35*0.15)</f>
        <v>1.5420753506279217E-2</v>
      </c>
      <c r="J29" s="188">
        <f>I29+C29+E29+G29</f>
        <v>0.10284287667948487</v>
      </c>
      <c r="K29" s="189">
        <v>2307198</v>
      </c>
      <c r="L29" s="189">
        <v>2214659</v>
      </c>
      <c r="M29" s="189">
        <v>1167247</v>
      </c>
      <c r="N29" s="189">
        <v>877117</v>
      </c>
      <c r="O29" s="189">
        <f>SUM(K29:N29)</f>
        <v>6566221</v>
      </c>
    </row>
    <row r="30" spans="1:15" s="190" customFormat="1">
      <c r="A30" s="186"/>
      <c r="B30" s="222"/>
      <c r="C30" s="188"/>
      <c r="D30" s="222"/>
      <c r="E30" s="188"/>
      <c r="F30" s="186"/>
      <c r="G30" s="186"/>
      <c r="H30" s="186"/>
      <c r="I30" s="186"/>
      <c r="J30" s="186"/>
      <c r="K30" s="189"/>
      <c r="L30" s="189"/>
      <c r="M30" s="189"/>
      <c r="N30" s="189"/>
      <c r="O30" s="189"/>
    </row>
    <row r="31" spans="1:15" s="190" customFormat="1">
      <c r="A31" s="186" t="s">
        <v>9</v>
      </c>
      <c r="B31" s="222">
        <v>345063</v>
      </c>
      <c r="C31" s="188">
        <f>SUM(B31/$B$35*0.35)</f>
        <v>2.7111608721272832E-2</v>
      </c>
      <c r="D31" s="222">
        <v>34993</v>
      </c>
      <c r="E31" s="188">
        <f>SUM(D31/$D$35*0.35)</f>
        <v>2.9766004554502127E-2</v>
      </c>
      <c r="F31" s="187">
        <v>26665</v>
      </c>
      <c r="G31" s="188">
        <f>SUM(F31/$F$35*0.15)</f>
        <v>1.3066765544705832E-2</v>
      </c>
      <c r="H31" s="187">
        <v>22433</v>
      </c>
      <c r="I31" s="188">
        <f>SUM(H31/$H$35*0.15)</f>
        <v>1.2852346686222385E-2</v>
      </c>
      <c r="J31" s="188">
        <f>I31+C31+E31+G31</f>
        <v>8.2796725506703167E-2</v>
      </c>
      <c r="K31" s="189">
        <v>1906064</v>
      </c>
      <c r="L31" s="189">
        <v>1829614</v>
      </c>
      <c r="M31" s="189">
        <v>964307</v>
      </c>
      <c r="N31" s="189">
        <v>724619</v>
      </c>
      <c r="O31" s="189">
        <f>SUM(K31:N31)</f>
        <v>5424604</v>
      </c>
    </row>
    <row r="32" spans="1:15" s="190" customFormat="1">
      <c r="A32" s="186"/>
      <c r="B32" s="222"/>
      <c r="C32" s="188"/>
      <c r="D32" s="222"/>
      <c r="E32" s="188"/>
      <c r="F32" s="186"/>
      <c r="G32" s="186"/>
      <c r="H32" s="186"/>
      <c r="I32" s="186"/>
      <c r="J32" s="186"/>
      <c r="K32" s="189"/>
      <c r="L32" s="189"/>
      <c r="M32" s="189"/>
      <c r="N32" s="189"/>
      <c r="O32" s="189"/>
    </row>
    <row r="33" spans="1:15" s="190" customFormat="1">
      <c r="A33" s="186" t="s">
        <v>10</v>
      </c>
      <c r="B33" s="222">
        <v>496169</v>
      </c>
      <c r="C33" s="188">
        <f>SUM(B33/$B$35*0.35)</f>
        <v>3.8984010999803573E-2</v>
      </c>
      <c r="D33" s="222">
        <v>86587</v>
      </c>
      <c r="E33" s="188">
        <f>SUM(D33/$D$35*0.35)</f>
        <v>7.3653274550929487E-2</v>
      </c>
      <c r="F33" s="187">
        <v>112231</v>
      </c>
      <c r="G33" s="188">
        <f>SUM(F33/$F$35*0.15)</f>
        <v>5.499704345951173E-2</v>
      </c>
      <c r="H33" s="187">
        <v>39182</v>
      </c>
      <c r="I33" s="188">
        <f>SUM(H33/$H$35*0.15)</f>
        <v>2.2448207901732513E-2</v>
      </c>
      <c r="J33" s="188">
        <f>I33+C33+E33+G33</f>
        <v>0.1900825369119773</v>
      </c>
      <c r="K33" s="189">
        <v>4401312</v>
      </c>
      <c r="L33" s="189">
        <f>(4224784)</f>
        <v>4224784</v>
      </c>
      <c r="M33" s="189">
        <f>2226692</f>
        <v>2226692</v>
      </c>
      <c r="N33" s="189">
        <f>1673226</f>
        <v>1673226</v>
      </c>
      <c r="O33" s="189">
        <f>SUM(K33:N33)</f>
        <v>12526014</v>
      </c>
    </row>
    <row r="34" spans="1:15" s="190" customFormat="1">
      <c r="A34" s="186"/>
      <c r="B34" s="221"/>
      <c r="C34" s="186"/>
      <c r="D34" s="186"/>
      <c r="E34" s="186"/>
      <c r="F34" s="186"/>
      <c r="G34" s="186"/>
      <c r="H34" s="186"/>
      <c r="I34" s="186"/>
      <c r="J34" s="186"/>
      <c r="K34" s="189"/>
      <c r="L34" s="189"/>
      <c r="M34" s="189"/>
      <c r="N34" s="189"/>
      <c r="O34" s="189"/>
    </row>
    <row r="35" spans="1:15" s="190" customFormat="1">
      <c r="A35" s="186" t="s">
        <v>74</v>
      </c>
      <c r="B35" s="187">
        <f t="shared" ref="B35:N35" si="0">SUM(B13:B33)</f>
        <v>4454625</v>
      </c>
      <c r="C35" s="188">
        <f t="shared" si="0"/>
        <v>0.35000000000000003</v>
      </c>
      <c r="D35" s="187">
        <f t="shared" si="0"/>
        <v>411461</v>
      </c>
      <c r="E35" s="188">
        <f t="shared" si="0"/>
        <v>0.35</v>
      </c>
      <c r="F35" s="187">
        <f t="shared" si="0"/>
        <v>306101</v>
      </c>
      <c r="G35" s="188">
        <f t="shared" si="0"/>
        <v>0.15</v>
      </c>
      <c r="H35" s="187">
        <f t="shared" si="0"/>
        <v>261816</v>
      </c>
      <c r="I35" s="188">
        <f t="shared" si="0"/>
        <v>0.15000000000000002</v>
      </c>
      <c r="J35" s="188">
        <f t="shared" si="0"/>
        <v>0.99999999999999989</v>
      </c>
      <c r="K35" s="189">
        <f t="shared" si="0"/>
        <v>22515241</v>
      </c>
      <c r="L35" s="189">
        <f t="shared" si="0"/>
        <v>21612187</v>
      </c>
      <c r="M35" s="189">
        <f t="shared" si="0"/>
        <v>11390813</v>
      </c>
      <c r="N35" s="189">
        <f t="shared" si="0"/>
        <v>8559516</v>
      </c>
      <c r="O35" s="189">
        <f>SUM(O13:O33)</f>
        <v>64077757</v>
      </c>
    </row>
    <row r="36" spans="1:15" ht="13.5" thickBot="1">
      <c r="A36" s="191"/>
      <c r="B36" s="191"/>
      <c r="C36" s="191"/>
      <c r="D36" s="191"/>
      <c r="E36" s="191"/>
      <c r="F36" s="191"/>
      <c r="G36" s="191"/>
      <c r="H36" s="191"/>
      <c r="I36" s="191"/>
      <c r="J36" s="191"/>
      <c r="K36" s="192"/>
      <c r="L36" s="192"/>
      <c r="M36" s="193"/>
      <c r="N36" s="194"/>
      <c r="O36" s="195"/>
    </row>
    <row r="37" spans="1:15">
      <c r="B37" s="169" t="s">
        <v>59</v>
      </c>
      <c r="G37" s="196"/>
      <c r="I37" s="196"/>
      <c r="K37" s="197"/>
      <c r="O37" s="167"/>
    </row>
    <row r="38" spans="1:15">
      <c r="K38" s="197"/>
    </row>
    <row r="39" spans="1:15">
      <c r="A39" s="169" t="s">
        <v>68</v>
      </c>
      <c r="K39" s="197"/>
    </row>
    <row r="40" spans="1:15" ht="12.75" customHeight="1">
      <c r="B40" s="212" t="s">
        <v>131</v>
      </c>
      <c r="I40" s="196"/>
      <c r="K40" s="197"/>
      <c r="M40" s="198"/>
    </row>
    <row r="41" spans="1:15">
      <c r="B41" s="169" t="s">
        <v>132</v>
      </c>
    </row>
    <row r="42" spans="1:15" ht="12.75" customHeight="1">
      <c r="B42" s="169" t="s">
        <v>55</v>
      </c>
      <c r="K42" s="197"/>
    </row>
    <row r="43" spans="1:15" ht="12.75" customHeight="1">
      <c r="B43" s="169" t="s">
        <v>57</v>
      </c>
    </row>
    <row r="45" spans="1:15">
      <c r="B45" s="428"/>
      <c r="C45" s="428"/>
      <c r="D45" s="428"/>
      <c r="E45" s="428"/>
      <c r="F45" s="428"/>
      <c r="G45" s="428"/>
    </row>
    <row r="46" spans="1:15">
      <c r="B46" s="428"/>
      <c r="C46" s="428"/>
      <c r="D46" s="428"/>
      <c r="E46" s="428"/>
      <c r="F46" s="428"/>
      <c r="G46" s="428"/>
      <c r="L46" s="169" t="s">
        <v>2</v>
      </c>
    </row>
    <row r="47" spans="1:15">
      <c r="B47" s="428"/>
      <c r="C47" s="428"/>
      <c r="D47" s="428"/>
      <c r="E47" s="428"/>
      <c r="F47" s="428"/>
      <c r="G47" s="428"/>
    </row>
    <row r="48" spans="1:15">
      <c r="B48" s="428"/>
      <c r="C48" s="428"/>
      <c r="D48" s="428"/>
      <c r="E48" s="428"/>
      <c r="F48" s="428"/>
      <c r="G48" s="428"/>
    </row>
    <row r="61" spans="2:14">
      <c r="B61" s="197"/>
      <c r="C61" s="197"/>
      <c r="D61" s="197"/>
      <c r="E61" s="197"/>
      <c r="F61" s="197"/>
      <c r="G61" s="197"/>
      <c r="J61" s="197"/>
      <c r="L61" s="197"/>
      <c r="M61" s="197"/>
      <c r="N61" s="197"/>
    </row>
    <row r="62" spans="2:14">
      <c r="D62" s="197"/>
      <c r="E62" s="197"/>
      <c r="G62" s="197"/>
      <c r="J62" s="197"/>
    </row>
    <row r="63" spans="2:14">
      <c r="B63" s="197"/>
      <c r="C63" s="197"/>
      <c r="D63" s="197"/>
      <c r="E63" s="197"/>
      <c r="F63" s="197"/>
      <c r="G63" s="197"/>
      <c r="J63" s="197"/>
      <c r="L63" s="197"/>
      <c r="M63" s="197"/>
      <c r="N63" s="197"/>
    </row>
    <row r="64" spans="2:14">
      <c r="C64" s="197"/>
      <c r="D64" s="197"/>
      <c r="G64" s="197"/>
      <c r="J64" s="197"/>
    </row>
    <row r="65" spans="2:14">
      <c r="B65" s="197"/>
      <c r="C65" s="197"/>
      <c r="D65" s="197"/>
      <c r="E65" s="197"/>
      <c r="F65" s="197"/>
      <c r="G65" s="197"/>
      <c r="J65" s="197"/>
      <c r="L65" s="197"/>
      <c r="M65" s="197"/>
      <c r="N65" s="197"/>
    </row>
    <row r="66" spans="2:14">
      <c r="C66" s="197"/>
      <c r="D66" s="197"/>
      <c r="E66" s="197"/>
      <c r="G66" s="197"/>
      <c r="J66" s="197"/>
    </row>
    <row r="67" spans="2:14">
      <c r="B67" s="197"/>
      <c r="C67" s="197"/>
      <c r="D67" s="197"/>
      <c r="E67" s="197"/>
      <c r="F67" s="197"/>
      <c r="G67" s="197"/>
      <c r="J67" s="197"/>
      <c r="L67" s="197"/>
      <c r="M67" s="197"/>
      <c r="N67" s="197"/>
    </row>
    <row r="68" spans="2:14">
      <c r="C68" s="197"/>
      <c r="D68" s="197"/>
      <c r="G68" s="197"/>
      <c r="J68" s="197"/>
    </row>
    <row r="69" spans="2:14">
      <c r="B69" s="197"/>
      <c r="C69" s="197"/>
      <c r="D69" s="197"/>
      <c r="E69" s="197"/>
      <c r="F69" s="197"/>
      <c r="G69" s="197"/>
      <c r="J69" s="197"/>
      <c r="L69" s="197"/>
      <c r="M69" s="197"/>
      <c r="N69" s="197"/>
    </row>
    <row r="70" spans="2:14">
      <c r="C70" s="197"/>
      <c r="D70" s="197"/>
      <c r="E70" s="197"/>
      <c r="G70" s="197"/>
      <c r="J70" s="197"/>
    </row>
    <row r="71" spans="2:14">
      <c r="B71" s="197"/>
      <c r="C71" s="197"/>
      <c r="D71" s="197"/>
      <c r="E71" s="197"/>
      <c r="F71" s="197"/>
      <c r="G71" s="197"/>
      <c r="J71" s="197"/>
      <c r="L71" s="197"/>
      <c r="M71" s="197"/>
      <c r="N71" s="197"/>
    </row>
    <row r="72" spans="2:14">
      <c r="C72" s="197"/>
      <c r="D72" s="197"/>
      <c r="G72" s="197"/>
      <c r="J72" s="197"/>
    </row>
    <row r="73" spans="2:14">
      <c r="B73" s="197"/>
      <c r="C73" s="197"/>
      <c r="D73" s="197"/>
      <c r="E73" s="197"/>
      <c r="F73" s="197"/>
      <c r="G73" s="197"/>
      <c r="J73" s="197"/>
      <c r="L73" s="197"/>
      <c r="M73" s="197"/>
      <c r="N73" s="197"/>
    </row>
    <row r="74" spans="2:14">
      <c r="C74" s="197"/>
      <c r="D74" s="197"/>
      <c r="E74" s="197"/>
      <c r="G74" s="197"/>
      <c r="J74" s="197"/>
    </row>
    <row r="75" spans="2:14">
      <c r="B75" s="197"/>
      <c r="C75" s="197"/>
      <c r="D75" s="197"/>
      <c r="E75" s="197"/>
      <c r="F75" s="197"/>
      <c r="G75" s="197"/>
      <c r="J75" s="197"/>
      <c r="L75" s="197"/>
      <c r="M75" s="197"/>
      <c r="N75" s="197"/>
    </row>
    <row r="76" spans="2:14">
      <c r="C76" s="197"/>
      <c r="D76" s="197"/>
      <c r="G76" s="197"/>
      <c r="J76" s="197"/>
    </row>
    <row r="77" spans="2:14">
      <c r="B77" s="197"/>
      <c r="C77" s="197"/>
      <c r="D77" s="197"/>
      <c r="E77" s="197"/>
      <c r="F77" s="197"/>
      <c r="G77" s="197"/>
      <c r="J77" s="197"/>
      <c r="L77" s="197"/>
      <c r="M77" s="197"/>
      <c r="N77" s="197"/>
    </row>
    <row r="78" spans="2:14">
      <c r="C78" s="197"/>
      <c r="D78" s="197"/>
      <c r="G78" s="197"/>
      <c r="J78" s="197"/>
    </row>
    <row r="79" spans="2:14">
      <c r="B79" s="197"/>
      <c r="C79" s="197"/>
      <c r="D79" s="197"/>
      <c r="E79" s="197"/>
      <c r="F79" s="197"/>
      <c r="G79" s="197"/>
      <c r="J79" s="197"/>
      <c r="L79" s="197"/>
      <c r="M79" s="197"/>
      <c r="N79" s="197"/>
    </row>
    <row r="80" spans="2:14">
      <c r="C80" s="197"/>
      <c r="D80" s="197"/>
      <c r="E80" s="197"/>
      <c r="G80" s="197"/>
      <c r="J80" s="197"/>
    </row>
    <row r="81" spans="2:14">
      <c r="B81" s="197"/>
      <c r="C81" s="197"/>
      <c r="D81" s="197"/>
      <c r="E81" s="197"/>
      <c r="F81" s="197"/>
      <c r="G81" s="197"/>
      <c r="J81" s="197"/>
      <c r="L81" s="197"/>
      <c r="M81" s="197"/>
      <c r="N81" s="197"/>
    </row>
    <row r="82" spans="2:14">
      <c r="C82" s="197"/>
      <c r="D82" s="197"/>
      <c r="G82" s="197"/>
      <c r="J82" s="197"/>
      <c r="L82" s="197"/>
    </row>
    <row r="83" spans="2:14">
      <c r="B83" s="197"/>
      <c r="C83" s="197"/>
      <c r="D83" s="197"/>
      <c r="E83" s="197"/>
      <c r="F83" s="197"/>
      <c r="G83" s="197"/>
      <c r="J83" s="197"/>
      <c r="L83" s="197"/>
      <c r="M83" s="197"/>
      <c r="N83" s="197"/>
    </row>
    <row r="84" spans="2:14">
      <c r="C84" s="197"/>
    </row>
  </sheetData>
  <mergeCells count="13">
    <mergeCell ref="H8:I8"/>
    <mergeCell ref="H9:I9"/>
    <mergeCell ref="H10:I10"/>
    <mergeCell ref="F8:G8"/>
    <mergeCell ref="B45:G48"/>
    <mergeCell ref="B8:C8"/>
    <mergeCell ref="B9:C9"/>
    <mergeCell ref="B10:C10"/>
    <mergeCell ref="D8:E8"/>
    <mergeCell ref="D9:E9"/>
    <mergeCell ref="D10:E10"/>
    <mergeCell ref="F9:G9"/>
    <mergeCell ref="F10:G10"/>
  </mergeCells>
  <phoneticPr fontId="4" type="noConversion"/>
  <pageMargins left="0.75" right="0.75" top="1" bottom="1" header="0.5" footer="0.5"/>
  <pageSetup paperSize="5" scale="75" orientation="landscape" r:id="rId1"/>
  <headerFooter alignWithMargins="0"/>
  <rowBreaks count="2" manualBreakCount="2">
    <brk id="44" max="16383" man="1"/>
    <brk id="9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B6" sqref="B6:B16"/>
    </sheetView>
  </sheetViews>
  <sheetFormatPr defaultRowHeight="15"/>
  <cols>
    <col min="1" max="1" width="7.109375" style="213" customWidth="1"/>
    <col min="2" max="2" width="20.33203125" style="214" bestFit="1" customWidth="1"/>
    <col min="3" max="3" width="15.109375" style="214" bestFit="1" customWidth="1"/>
    <col min="4" max="16384" width="8.88671875" style="214"/>
  </cols>
  <sheetData>
    <row r="1" spans="1:4">
      <c r="A1" s="436" t="s">
        <v>96</v>
      </c>
      <c r="B1" s="437"/>
      <c r="C1" s="438"/>
      <c r="D1" s="216"/>
    </row>
    <row r="2" spans="1:4">
      <c r="A2" s="439" t="s">
        <v>103</v>
      </c>
      <c r="B2" s="440"/>
      <c r="C2" s="441"/>
      <c r="D2" s="216"/>
    </row>
    <row r="3" spans="1:4">
      <c r="A3" s="439" t="s">
        <v>110</v>
      </c>
      <c r="B3" s="440"/>
      <c r="C3" s="441"/>
      <c r="D3" s="216"/>
    </row>
    <row r="4" spans="1:4" ht="15.75" thickBot="1">
      <c r="A4" s="433" t="s">
        <v>249</v>
      </c>
      <c r="B4" s="434"/>
      <c r="C4" s="435"/>
      <c r="D4" s="216"/>
    </row>
    <row r="5" spans="1:4">
      <c r="A5" s="213" t="s">
        <v>66</v>
      </c>
      <c r="B5" s="214" t="s">
        <v>133</v>
      </c>
      <c r="C5" s="214" t="s">
        <v>134</v>
      </c>
    </row>
    <row r="6" spans="1:4">
      <c r="A6" s="213">
        <v>1</v>
      </c>
      <c r="B6" s="276">
        <v>23954</v>
      </c>
      <c r="C6" s="276">
        <v>64913</v>
      </c>
    </row>
    <row r="7" spans="1:4">
      <c r="A7" s="213">
        <v>2</v>
      </c>
      <c r="B7" s="276">
        <v>20934</v>
      </c>
      <c r="C7" s="276">
        <v>56727</v>
      </c>
    </row>
    <row r="8" spans="1:4">
      <c r="A8" s="213">
        <v>3</v>
      </c>
      <c r="B8" s="276">
        <v>65975</v>
      </c>
      <c r="C8" s="276">
        <v>178782</v>
      </c>
    </row>
    <row r="9" spans="1:4">
      <c r="A9" s="213">
        <v>4</v>
      </c>
      <c r="B9" s="276">
        <v>32287</v>
      </c>
      <c r="C9" s="276">
        <v>87492</v>
      </c>
    </row>
    <row r="10" spans="1:4">
      <c r="A10" s="213">
        <v>5</v>
      </c>
      <c r="B10" s="276">
        <v>37019</v>
      </c>
      <c r="C10" s="276">
        <v>100314</v>
      </c>
    </row>
    <row r="11" spans="1:4">
      <c r="A11" s="213">
        <v>6</v>
      </c>
      <c r="B11" s="276">
        <v>35579</v>
      </c>
      <c r="C11" s="276">
        <v>96413</v>
      </c>
    </row>
    <row r="12" spans="1:4">
      <c r="A12" s="213">
        <v>7</v>
      </c>
      <c r="B12" s="276">
        <v>49131</v>
      </c>
      <c r="C12" s="276">
        <v>133137</v>
      </c>
    </row>
    <row r="13" spans="1:4">
      <c r="A13" s="213">
        <v>8</v>
      </c>
      <c r="B13" s="276">
        <v>23384</v>
      </c>
      <c r="C13" s="276">
        <v>63368</v>
      </c>
    </row>
    <row r="14" spans="1:4">
      <c r="A14" s="213">
        <v>9</v>
      </c>
      <c r="B14" s="276">
        <v>26565</v>
      </c>
      <c r="C14" s="276">
        <v>71986</v>
      </c>
    </row>
    <row r="15" spans="1:4">
      <c r="A15" s="213">
        <v>10</v>
      </c>
      <c r="B15" s="276">
        <v>30471</v>
      </c>
      <c r="C15" s="276">
        <v>82572</v>
      </c>
    </row>
    <row r="16" spans="1:4">
      <c r="A16" s="213">
        <v>11</v>
      </c>
      <c r="B16" s="276">
        <v>62132</v>
      </c>
      <c r="C16" s="276">
        <v>168364</v>
      </c>
    </row>
    <row r="17" spans="1:3">
      <c r="A17" s="213" t="s">
        <v>74</v>
      </c>
      <c r="B17" s="215">
        <f>SUM(B6:B16)</f>
        <v>407431</v>
      </c>
      <c r="C17" s="215">
        <f>SUM(C6:C16)</f>
        <v>1104068</v>
      </c>
    </row>
  </sheetData>
  <mergeCells count="4">
    <mergeCell ref="A4:C4"/>
    <mergeCell ref="A1:C1"/>
    <mergeCell ref="A2:C2"/>
    <mergeCell ref="A3:C3"/>
  </mergeCells>
  <phoneticPr fontId="5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4:K35"/>
  <sheetViews>
    <sheetView topLeftCell="C1" workbookViewId="0">
      <selection activeCell="E9" sqref="E9:E29"/>
    </sheetView>
  </sheetViews>
  <sheetFormatPr defaultColWidth="7.109375" defaultRowHeight="12.75"/>
  <cols>
    <col min="1" max="3" width="7.109375" style="199" customWidth="1"/>
    <col min="4" max="4" width="7.109375" style="200" customWidth="1"/>
    <col min="5" max="8" width="15.44140625" style="200" customWidth="1"/>
    <col min="9" max="9" width="8.6640625" style="199" customWidth="1"/>
    <col min="10" max="10" width="7.109375" style="199" customWidth="1"/>
    <col min="11" max="11" width="9.44140625" style="199" bestFit="1" customWidth="1"/>
    <col min="12" max="16384" width="7.109375" style="199"/>
  </cols>
  <sheetData>
    <row r="4" spans="1:11" ht="13.5" thickBot="1"/>
    <row r="5" spans="1:11" ht="12.75" customHeight="1">
      <c r="A5" s="201"/>
      <c r="B5" s="201"/>
      <c r="C5" s="201"/>
      <c r="D5" s="447" t="s">
        <v>66</v>
      </c>
      <c r="E5" s="442" t="s">
        <v>244</v>
      </c>
      <c r="F5" s="442" t="s">
        <v>245</v>
      </c>
      <c r="G5" s="442" t="s">
        <v>246</v>
      </c>
      <c r="H5" s="442" t="s">
        <v>247</v>
      </c>
      <c r="I5" s="444" t="s">
        <v>130</v>
      </c>
    </row>
    <row r="6" spans="1:11">
      <c r="A6" s="201"/>
      <c r="B6" s="201"/>
      <c r="C6" s="201"/>
      <c r="D6" s="448"/>
      <c r="E6" s="443"/>
      <c r="F6" s="443"/>
      <c r="G6" s="443"/>
      <c r="H6" s="443"/>
      <c r="I6" s="445"/>
      <c r="K6" s="223"/>
    </row>
    <row r="7" spans="1:11">
      <c r="A7" s="202"/>
      <c r="B7" s="202"/>
      <c r="D7" s="448"/>
      <c r="E7" s="443"/>
      <c r="F7" s="443"/>
      <c r="G7" s="443"/>
      <c r="H7" s="443"/>
      <c r="I7" s="445"/>
    </row>
    <row r="8" spans="1:11">
      <c r="D8" s="448"/>
      <c r="E8" s="443"/>
      <c r="F8" s="443"/>
      <c r="G8" s="443"/>
      <c r="H8" s="443"/>
      <c r="I8" s="445"/>
    </row>
    <row r="9" spans="1:11">
      <c r="D9" s="203">
        <v>1</v>
      </c>
      <c r="E9" s="204">
        <v>146154</v>
      </c>
      <c r="F9" s="204">
        <v>12457</v>
      </c>
      <c r="G9" s="204">
        <v>6342</v>
      </c>
      <c r="H9" s="204">
        <v>10181</v>
      </c>
      <c r="I9" s="205">
        <f>(E9/E$30)*0.35+(F9/F$30)*0.35+(G9/G$30)*0.15+(H9/H$30)*0.15</f>
        <v>3.1020299958736966E-2</v>
      </c>
    </row>
    <row r="10" spans="1:11">
      <c r="D10" s="203"/>
      <c r="E10" s="204"/>
      <c r="F10" s="204"/>
      <c r="G10" s="204"/>
      <c r="H10" s="204"/>
      <c r="I10" s="205"/>
    </row>
    <row r="11" spans="1:11">
      <c r="D11" s="203">
        <v>2</v>
      </c>
      <c r="E11" s="204">
        <v>139488</v>
      </c>
      <c r="F11" s="204">
        <v>17846</v>
      </c>
      <c r="G11" s="204">
        <v>9779</v>
      </c>
      <c r="H11" s="204">
        <v>10804</v>
      </c>
      <c r="I11" s="205">
        <f>(E11/E$30)*0.35+(F11/F$30)*0.35+(G11/G$30)*0.15+(H11/H$30)*0.15</f>
        <v>3.7121761286243692E-2</v>
      </c>
    </row>
    <row r="12" spans="1:11">
      <c r="D12" s="203"/>
      <c r="E12" s="204"/>
      <c r="F12" s="204"/>
      <c r="G12" s="204"/>
      <c r="H12" s="204"/>
      <c r="I12" s="205"/>
    </row>
    <row r="13" spans="1:11">
      <c r="D13" s="203">
        <v>3</v>
      </c>
      <c r="E13" s="204">
        <v>479843</v>
      </c>
      <c r="F13" s="204">
        <v>42641</v>
      </c>
      <c r="G13" s="204">
        <v>18136</v>
      </c>
      <c r="H13" s="204">
        <v>26992</v>
      </c>
      <c r="I13" s="205">
        <f>(E13/E$30)*0.35+(F13/F$30)*0.35+(G13/G$30)*0.15+(H13/H$30)*0.15</f>
        <v>9.8324437897550354E-2</v>
      </c>
    </row>
    <row r="14" spans="1:11">
      <c r="D14" s="203"/>
      <c r="E14" s="204"/>
      <c r="F14" s="204"/>
      <c r="G14" s="204"/>
      <c r="H14" s="204"/>
      <c r="I14" s="205"/>
    </row>
    <row r="15" spans="1:11">
      <c r="D15" s="203">
        <v>4</v>
      </c>
      <c r="E15" s="204">
        <v>431649</v>
      </c>
      <c r="F15" s="204">
        <v>36283</v>
      </c>
      <c r="G15" s="204">
        <v>20849</v>
      </c>
      <c r="H15" s="204">
        <v>25618</v>
      </c>
      <c r="I15" s="205">
        <f>(E15/E$30)*0.35+(F15/F$30)*0.35+(G15/G$30)*0.15+(H15/H$30)*0.15</f>
        <v>8.9671814178561599E-2</v>
      </c>
    </row>
    <row r="16" spans="1:11">
      <c r="D16" s="203"/>
      <c r="E16" s="204"/>
      <c r="F16" s="204"/>
      <c r="G16" s="204"/>
      <c r="H16" s="204"/>
      <c r="I16" s="205"/>
    </row>
    <row r="17" spans="4:9">
      <c r="D17" s="203">
        <v>5</v>
      </c>
      <c r="E17" s="204">
        <v>399885</v>
      </c>
      <c r="F17" s="204">
        <v>33476</v>
      </c>
      <c r="G17" s="204">
        <v>9153</v>
      </c>
      <c r="H17" s="204">
        <v>21416</v>
      </c>
      <c r="I17" s="205">
        <f>(E17/E$30)*0.35+(F17/F$30)*0.35+(G17/G$30)*0.15+(H17/H$30)*0.15</f>
        <v>7.6649547301827714E-2</v>
      </c>
    </row>
    <row r="18" spans="4:9">
      <c r="D18" s="203"/>
      <c r="E18" s="204"/>
      <c r="F18" s="204"/>
      <c r="G18" s="206"/>
      <c r="H18" s="204"/>
      <c r="I18" s="205"/>
    </row>
    <row r="19" spans="4:9">
      <c r="D19" s="203">
        <v>6</v>
      </c>
      <c r="E19" s="204">
        <v>494175</v>
      </c>
      <c r="F19" s="207">
        <v>43987</v>
      </c>
      <c r="G19" s="224">
        <v>30991</v>
      </c>
      <c r="H19" s="208">
        <v>29775</v>
      </c>
      <c r="I19" s="205">
        <f>(E19/E$30)*0.35+(F19/F$30)*0.35+(G19/G$30)*0.15+(H19/H$30)*0.15</f>
        <v>0.10848927972954844</v>
      </c>
    </row>
    <row r="20" spans="4:9">
      <c r="D20" s="203"/>
      <c r="E20" s="204"/>
      <c r="F20" s="204"/>
      <c r="G20" s="209"/>
      <c r="H20" s="204"/>
      <c r="I20" s="205"/>
    </row>
    <row r="21" spans="4:9">
      <c r="D21" s="203">
        <v>7</v>
      </c>
      <c r="E21" s="204">
        <v>426871</v>
      </c>
      <c r="F21" s="204">
        <v>33349</v>
      </c>
      <c r="G21" s="204">
        <v>34673</v>
      </c>
      <c r="H21" s="204">
        <v>24734</v>
      </c>
      <c r="I21" s="205">
        <f>(E21/E$30)*0.35+(F21/F$30)*0.35+(G21/G$30)*0.15+(H21/H$30)*0.15</f>
        <v>9.3068437903642845E-2</v>
      </c>
    </row>
    <row r="22" spans="4:9">
      <c r="D22" s="203"/>
      <c r="E22" s="204"/>
      <c r="F22" s="204"/>
      <c r="G22" s="204"/>
      <c r="H22" s="204"/>
      <c r="I22" s="205"/>
    </row>
    <row r="23" spans="4:9">
      <c r="D23" s="203">
        <v>8</v>
      </c>
      <c r="E23" s="204">
        <v>546975</v>
      </c>
      <c r="F23" s="204">
        <v>31259</v>
      </c>
      <c r="G23" s="204">
        <v>13777</v>
      </c>
      <c r="H23" s="204">
        <v>23765</v>
      </c>
      <c r="I23" s="205">
        <f>(E23/E$30)*0.35+(F23/F$30)*0.35+(G23/G$30)*0.15+(H23/H$30)*0.15</f>
        <v>8.9932282645722977E-2</v>
      </c>
    </row>
    <row r="24" spans="4:9">
      <c r="D24" s="203"/>
      <c r="E24" s="204"/>
      <c r="F24" s="204"/>
      <c r="G24" s="204"/>
      <c r="H24" s="204"/>
      <c r="I24" s="205"/>
    </row>
    <row r="25" spans="4:9">
      <c r="D25" s="203">
        <v>9</v>
      </c>
      <c r="E25" s="204">
        <v>548353</v>
      </c>
      <c r="F25" s="204">
        <v>38583</v>
      </c>
      <c r="G25" s="204">
        <v>23505</v>
      </c>
      <c r="H25" s="204">
        <v>26916</v>
      </c>
      <c r="I25" s="205">
        <f>(E25/E$30)*0.35+(F25/F$30)*0.35+(G25/G$30)*0.15+(H25/H$30)*0.15</f>
        <v>0.10284287667948488</v>
      </c>
    </row>
    <row r="26" spans="4:9">
      <c r="D26" s="203"/>
      <c r="E26" s="204"/>
      <c r="F26" s="204"/>
      <c r="G26" s="204"/>
      <c r="H26" s="204"/>
      <c r="I26" s="205"/>
    </row>
    <row r="27" spans="4:9">
      <c r="D27" s="203">
        <v>10</v>
      </c>
      <c r="E27" s="204">
        <v>345063</v>
      </c>
      <c r="F27" s="204">
        <v>34993</v>
      </c>
      <c r="G27" s="204">
        <v>26665</v>
      </c>
      <c r="H27" s="204">
        <v>22433</v>
      </c>
      <c r="I27" s="205">
        <f>(E27/E$30)*0.35+(F27/F$30)*0.35+(G27/G$30)*0.15+(H27/H$30)*0.15</f>
        <v>8.2796725506703181E-2</v>
      </c>
    </row>
    <row r="28" spans="4:9">
      <c r="D28" s="203"/>
      <c r="E28" s="204"/>
      <c r="F28" s="204"/>
      <c r="G28" s="204"/>
      <c r="H28" s="204"/>
      <c r="I28" s="205"/>
    </row>
    <row r="29" spans="4:9">
      <c r="D29" s="203">
        <v>11</v>
      </c>
      <c r="E29" s="204">
        <v>496169</v>
      </c>
      <c r="F29" s="204">
        <v>86587</v>
      </c>
      <c r="G29" s="204">
        <v>112231</v>
      </c>
      <c r="H29" s="204">
        <v>39182</v>
      </c>
      <c r="I29" s="269">
        <f>(E29/E$30)*0.35+(F29/F$30)*0.35+(G29/G$30)*0.15+(H29/H$30)*0.15</f>
        <v>0.1900825369119773</v>
      </c>
    </row>
    <row r="30" spans="4:9" ht="13.5" thickBot="1">
      <c r="D30" s="210" t="s">
        <v>74</v>
      </c>
      <c r="E30" s="211">
        <f>SUM(E9:E29)</f>
        <v>4454625</v>
      </c>
      <c r="F30" s="211">
        <f>SUM(F9:F29)</f>
        <v>411461</v>
      </c>
      <c r="G30" s="211">
        <f>SUM(G9:G29)</f>
        <v>306101</v>
      </c>
      <c r="H30" s="268">
        <f>SUM(H9:H29)</f>
        <v>261816</v>
      </c>
      <c r="I30" s="270"/>
    </row>
    <row r="32" spans="4:9">
      <c r="D32" s="446" t="s">
        <v>248</v>
      </c>
      <c r="E32" s="446"/>
      <c r="F32" s="446"/>
      <c r="G32" s="446"/>
      <c r="H32" s="446"/>
      <c r="I32" s="446"/>
    </row>
    <row r="33" spans="4:9">
      <c r="D33" s="446"/>
      <c r="E33" s="446"/>
      <c r="F33" s="446"/>
      <c r="G33" s="446"/>
      <c r="H33" s="446"/>
      <c r="I33" s="446"/>
    </row>
    <row r="34" spans="4:9" ht="7.5" customHeight="1">
      <c r="D34" s="446"/>
      <c r="E34" s="446"/>
      <c r="F34" s="446"/>
      <c r="G34" s="446"/>
      <c r="H34" s="446"/>
      <c r="I34" s="446"/>
    </row>
    <row r="35" spans="4:9" hidden="1">
      <c r="D35" s="446"/>
      <c r="E35" s="446"/>
      <c r="F35" s="446"/>
      <c r="G35" s="446"/>
      <c r="H35" s="446"/>
      <c r="I35" s="446"/>
    </row>
  </sheetData>
  <mergeCells count="7">
    <mergeCell ref="H5:H8"/>
    <mergeCell ref="I5:I8"/>
    <mergeCell ref="D32:I35"/>
    <mergeCell ref="D5:D8"/>
    <mergeCell ref="E5:E8"/>
    <mergeCell ref="F5:F8"/>
    <mergeCell ref="G5:G8"/>
  </mergeCells>
  <phoneticPr fontId="4" type="noConversion"/>
  <pageMargins left="0.75" right="0.75" top="1" bottom="1" header="0.5" footer="0.5"/>
  <pageSetup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H82"/>
  <sheetViews>
    <sheetView tabSelected="1" zoomScaleNormal="100" workbookViewId="0">
      <selection activeCell="A5" sqref="A5:B81"/>
    </sheetView>
  </sheetViews>
  <sheetFormatPr defaultRowHeight="14.25"/>
  <cols>
    <col min="1" max="1" width="7.44140625" style="229" customWidth="1"/>
    <col min="2" max="2" width="8.88671875" style="229"/>
    <col min="3" max="3" width="8.6640625" style="229" bestFit="1" customWidth="1"/>
    <col min="4" max="5" width="10" style="229" customWidth="1"/>
    <col min="6" max="6" width="8.88671875" style="229" customWidth="1"/>
    <col min="7" max="86" width="8.88671875" style="228"/>
    <col min="87" max="16384" width="8.88671875" style="229"/>
  </cols>
  <sheetData>
    <row r="1" spans="1:86" ht="15">
      <c r="A1" s="449" t="s">
        <v>147</v>
      </c>
      <c r="B1" s="449"/>
      <c r="C1" s="449"/>
      <c r="D1" s="449"/>
      <c r="E1" s="449"/>
      <c r="F1" s="449"/>
    </row>
    <row r="2" spans="1:86" ht="15">
      <c r="A2" s="450" t="s">
        <v>148</v>
      </c>
      <c r="B2" s="450"/>
      <c r="C2" s="450"/>
      <c r="D2" s="450"/>
      <c r="E2" s="450"/>
      <c r="F2" s="450"/>
      <c r="G2" s="451" t="s">
        <v>232</v>
      </c>
      <c r="H2" s="451"/>
      <c r="I2" s="451"/>
      <c r="J2" s="451"/>
    </row>
    <row r="3" spans="1:86" s="236" customFormat="1" ht="117.75" customHeight="1" thickBot="1">
      <c r="A3" s="230" t="s">
        <v>66</v>
      </c>
      <c r="B3" s="231" t="s">
        <v>149</v>
      </c>
      <c r="C3" s="232" t="s">
        <v>18</v>
      </c>
      <c r="D3" s="233" t="s">
        <v>150</v>
      </c>
      <c r="E3" s="233" t="s">
        <v>151</v>
      </c>
      <c r="F3" s="234" t="s">
        <v>152</v>
      </c>
      <c r="G3" s="232" t="s">
        <v>18</v>
      </c>
      <c r="H3" s="233" t="s">
        <v>150</v>
      </c>
      <c r="I3" s="233" t="s">
        <v>151</v>
      </c>
      <c r="J3" s="234" t="s">
        <v>152</v>
      </c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</row>
    <row r="4" spans="1:86" s="236" customFormat="1" ht="15" customHeight="1" thickBot="1">
      <c r="A4" s="237" t="s">
        <v>153</v>
      </c>
      <c r="B4" s="238"/>
      <c r="C4" s="239">
        <f>SUM(C9,C24,C41,C49,C52,C58,C63,C71,C77,C79,C82)</f>
        <v>4454625</v>
      </c>
      <c r="D4" s="239">
        <f t="shared" ref="D4" si="0">SUM(D9,D24,D41,D49,D52,D58,D63,D71,D77,D79,D82)</f>
        <v>411459.50602628</v>
      </c>
      <c r="E4" s="239">
        <f>SUM(E9,E24,E41,E49,E52,E58,E63,E71,E77,E79,E82)</f>
        <v>306101.4445979264</v>
      </c>
      <c r="F4" s="239">
        <f>SUM(F9,F24,F41,F49,F52,F58,F63,F71,F77,F79,F82)</f>
        <v>261815.5009919143</v>
      </c>
      <c r="G4" s="239">
        <f>SUM(G9,G24,G41,G49,G52,G58,G63,G71,G77,G79,G82)</f>
        <v>4454625</v>
      </c>
      <c r="H4" s="239">
        <f t="shared" ref="H4" si="1">SUM(H9,H24,H41,H49,H52,H58,H63,H71,H77,H79,H82)</f>
        <v>411461</v>
      </c>
      <c r="I4" s="239">
        <f>SUM(I9,I24,I41,I49,I52,I58,I63,I71,I77,I79,I82)</f>
        <v>306101</v>
      </c>
      <c r="J4" s="239">
        <f>SUM(J9,J24,J41,J49,J52,J58,J63,J71,J77,J79,J82)</f>
        <v>261816</v>
      </c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</row>
    <row r="5" spans="1:86" ht="15">
      <c r="A5" s="240">
        <v>1</v>
      </c>
      <c r="B5" s="241" t="s">
        <v>154</v>
      </c>
      <c r="C5" s="242">
        <v>64665</v>
      </c>
      <c r="D5" s="243">
        <v>6185.9984370619895</v>
      </c>
      <c r="E5" s="244">
        <v>4151.3653316989676</v>
      </c>
      <c r="F5" s="245">
        <v>5245.4626251056752</v>
      </c>
      <c r="G5" s="267">
        <f>ROUND(C5,0)</f>
        <v>64665</v>
      </c>
      <c r="H5" s="267">
        <f>ROUND(D5,0)</f>
        <v>6186</v>
      </c>
      <c r="I5" s="267">
        <f>ROUND(E5,0)</f>
        <v>4151</v>
      </c>
      <c r="J5" s="267">
        <f>ROUND(F5,0)</f>
        <v>5245</v>
      </c>
    </row>
    <row r="6" spans="1:86" ht="15">
      <c r="A6" s="246">
        <v>1</v>
      </c>
      <c r="B6" s="247" t="s">
        <v>155</v>
      </c>
      <c r="C6" s="248">
        <v>39471</v>
      </c>
      <c r="D6" s="244">
        <v>2437.6354451016514</v>
      </c>
      <c r="E6" s="244">
        <v>875.72932961549316</v>
      </c>
      <c r="F6" s="249">
        <v>2132.8778730529198</v>
      </c>
      <c r="G6" s="267">
        <f t="shared" ref="G6:G69" si="2">ROUND(C6,0)</f>
        <v>39471</v>
      </c>
      <c r="H6" s="267">
        <f t="shared" ref="H6:H69" si="3">ROUND(D6,0)</f>
        <v>2438</v>
      </c>
      <c r="I6" s="267">
        <f t="shared" ref="I6:I69" si="4">ROUND(E6,0)</f>
        <v>876</v>
      </c>
      <c r="J6" s="267">
        <f t="shared" ref="J6:J69" si="5">ROUND(F6,0)</f>
        <v>2133</v>
      </c>
    </row>
    <row r="7" spans="1:86" ht="15">
      <c r="A7" s="246">
        <v>1</v>
      </c>
      <c r="B7" s="247" t="s">
        <v>156</v>
      </c>
      <c r="C7" s="248">
        <v>27341</v>
      </c>
      <c r="D7" s="244">
        <v>2160.7792325900382</v>
      </c>
      <c r="E7" s="250">
        <v>834.31683684458824</v>
      </c>
      <c r="F7" s="249">
        <v>1644.9914529914531</v>
      </c>
      <c r="G7" s="267">
        <f t="shared" si="2"/>
        <v>27341</v>
      </c>
      <c r="H7" s="267">
        <f t="shared" si="3"/>
        <v>2161</v>
      </c>
      <c r="I7" s="267">
        <f t="shared" si="4"/>
        <v>834</v>
      </c>
      <c r="J7" s="267">
        <f t="shared" si="5"/>
        <v>1645</v>
      </c>
    </row>
    <row r="8" spans="1:86" ht="15.75" thickBot="1">
      <c r="A8" s="251">
        <v>1</v>
      </c>
      <c r="B8" s="252" t="s">
        <v>157</v>
      </c>
      <c r="C8" s="253">
        <v>14677</v>
      </c>
      <c r="D8" s="254">
        <v>1672.1755728146709</v>
      </c>
      <c r="E8" s="244">
        <v>480.45787306666585</v>
      </c>
      <c r="F8" s="255">
        <v>1157.6384364820847</v>
      </c>
      <c r="G8" s="267">
        <f t="shared" si="2"/>
        <v>14677</v>
      </c>
      <c r="H8" s="267">
        <f t="shared" si="3"/>
        <v>1672</v>
      </c>
      <c r="I8" s="267">
        <f t="shared" si="4"/>
        <v>480</v>
      </c>
      <c r="J8" s="267">
        <f t="shared" si="5"/>
        <v>1158</v>
      </c>
    </row>
    <row r="9" spans="1:86" ht="15.75" thickBot="1">
      <c r="A9" s="256" t="s">
        <v>158</v>
      </c>
      <c r="B9" s="238"/>
      <c r="C9" s="257">
        <f>SUM(C5:C8)</f>
        <v>146154</v>
      </c>
      <c r="D9" s="257">
        <f t="shared" ref="D9:F9" si="6">SUM(D5:D8)</f>
        <v>12456.58868756835</v>
      </c>
      <c r="E9" s="257">
        <f t="shared" si="6"/>
        <v>6341.8693712257154</v>
      </c>
      <c r="F9" s="258">
        <f t="shared" si="6"/>
        <v>10180.970387632133</v>
      </c>
      <c r="G9" s="267">
        <f t="shared" si="2"/>
        <v>146154</v>
      </c>
      <c r="H9" s="267">
        <f t="shared" si="3"/>
        <v>12457</v>
      </c>
      <c r="I9" s="267">
        <f t="shared" si="4"/>
        <v>6342</v>
      </c>
      <c r="J9" s="267">
        <f t="shared" si="5"/>
        <v>10181</v>
      </c>
    </row>
    <row r="10" spans="1:86" ht="15">
      <c r="A10" s="240">
        <v>2</v>
      </c>
      <c r="B10" s="241" t="s">
        <v>159</v>
      </c>
      <c r="C10" s="242">
        <v>38110</v>
      </c>
      <c r="D10" s="243">
        <v>3996.0808312406998</v>
      </c>
      <c r="E10" s="244">
        <v>1718.2534424503795</v>
      </c>
      <c r="F10" s="245">
        <v>2564.8940582074629</v>
      </c>
      <c r="G10" s="267">
        <f t="shared" si="2"/>
        <v>38110</v>
      </c>
      <c r="H10" s="267">
        <f t="shared" si="3"/>
        <v>3996</v>
      </c>
      <c r="I10" s="267">
        <f t="shared" si="4"/>
        <v>1718</v>
      </c>
      <c r="J10" s="267">
        <f t="shared" si="5"/>
        <v>2565</v>
      </c>
    </row>
    <row r="11" spans="1:86" ht="15">
      <c r="A11" s="246">
        <v>2</v>
      </c>
      <c r="B11" s="247" t="s">
        <v>160</v>
      </c>
      <c r="C11" s="248">
        <v>2967</v>
      </c>
      <c r="D11" s="244">
        <v>587.81285661613731</v>
      </c>
      <c r="E11" s="244">
        <v>154.95628556571427</v>
      </c>
      <c r="F11" s="249">
        <v>361.535175879397</v>
      </c>
      <c r="G11" s="267">
        <f t="shared" si="2"/>
        <v>2967</v>
      </c>
      <c r="H11" s="267">
        <f t="shared" si="3"/>
        <v>588</v>
      </c>
      <c r="I11" s="267">
        <f t="shared" si="4"/>
        <v>155</v>
      </c>
      <c r="J11" s="267">
        <f t="shared" si="5"/>
        <v>362</v>
      </c>
    </row>
    <row r="12" spans="1:86" ht="15">
      <c r="A12" s="246">
        <v>2</v>
      </c>
      <c r="B12" s="247" t="s">
        <v>161</v>
      </c>
      <c r="C12" s="248">
        <v>3309</v>
      </c>
      <c r="D12" s="244">
        <v>467.85141075678007</v>
      </c>
      <c r="E12" s="244">
        <v>130.47991040801946</v>
      </c>
      <c r="F12" s="249">
        <v>273.62678239305643</v>
      </c>
      <c r="G12" s="267">
        <f t="shared" si="2"/>
        <v>3309</v>
      </c>
      <c r="H12" s="267">
        <f t="shared" si="3"/>
        <v>468</v>
      </c>
      <c r="I12" s="267">
        <f t="shared" si="4"/>
        <v>130</v>
      </c>
      <c r="J12" s="267">
        <f t="shared" si="5"/>
        <v>274</v>
      </c>
    </row>
    <row r="13" spans="1:86" ht="15">
      <c r="A13" s="246">
        <v>2</v>
      </c>
      <c r="B13" s="247" t="s">
        <v>162</v>
      </c>
      <c r="C13" s="248">
        <v>10024</v>
      </c>
      <c r="D13" s="244">
        <v>1666.5983170307222</v>
      </c>
      <c r="E13" s="244">
        <v>1834.3177553060916</v>
      </c>
      <c r="F13" s="249">
        <v>793.64537941397441</v>
      </c>
      <c r="G13" s="267">
        <f t="shared" si="2"/>
        <v>10024</v>
      </c>
      <c r="H13" s="267">
        <f t="shared" si="3"/>
        <v>1667</v>
      </c>
      <c r="I13" s="267">
        <f t="shared" si="4"/>
        <v>1834</v>
      </c>
      <c r="J13" s="267">
        <f t="shared" si="5"/>
        <v>794</v>
      </c>
    </row>
    <row r="14" spans="1:86" ht="15">
      <c r="A14" s="246">
        <v>2</v>
      </c>
      <c r="B14" s="247" t="s">
        <v>163</v>
      </c>
      <c r="C14" s="248">
        <v>3925</v>
      </c>
      <c r="D14" s="244">
        <v>568.60051587403984</v>
      </c>
      <c r="E14" s="244">
        <v>129.61120173816582</v>
      </c>
      <c r="F14" s="249">
        <v>300.96857142857141</v>
      </c>
      <c r="G14" s="267">
        <f t="shared" si="2"/>
        <v>3925</v>
      </c>
      <c r="H14" s="267">
        <f t="shared" si="3"/>
        <v>569</v>
      </c>
      <c r="I14" s="267">
        <f t="shared" si="4"/>
        <v>130</v>
      </c>
      <c r="J14" s="267">
        <f t="shared" si="5"/>
        <v>301</v>
      </c>
    </row>
    <row r="15" spans="1:86" ht="15">
      <c r="A15" s="246">
        <v>2</v>
      </c>
      <c r="B15" s="247" t="s">
        <v>164</v>
      </c>
      <c r="C15" s="248">
        <v>4592</v>
      </c>
      <c r="D15" s="244">
        <v>813.28374253892946</v>
      </c>
      <c r="E15" s="244">
        <v>76.572999999999922</v>
      </c>
      <c r="F15" s="249">
        <v>362.86200231928876</v>
      </c>
      <c r="G15" s="267">
        <f t="shared" si="2"/>
        <v>4592</v>
      </c>
      <c r="H15" s="267">
        <f t="shared" si="3"/>
        <v>813</v>
      </c>
      <c r="I15" s="267">
        <f t="shared" si="4"/>
        <v>77</v>
      </c>
      <c r="J15" s="267">
        <f t="shared" si="5"/>
        <v>363</v>
      </c>
    </row>
    <row r="16" spans="1:86" ht="15">
      <c r="A16" s="246">
        <v>2</v>
      </c>
      <c r="B16" s="247" t="s">
        <v>165</v>
      </c>
      <c r="C16" s="248">
        <v>12000</v>
      </c>
      <c r="D16" s="244">
        <v>2244.9386690847305</v>
      </c>
      <c r="E16" s="244">
        <v>994.01339073886834</v>
      </c>
      <c r="F16" s="249">
        <v>1270.5199814843388</v>
      </c>
      <c r="G16" s="267">
        <f t="shared" si="2"/>
        <v>12000</v>
      </c>
      <c r="H16" s="267">
        <f t="shared" si="3"/>
        <v>2245</v>
      </c>
      <c r="I16" s="267">
        <f t="shared" si="4"/>
        <v>994</v>
      </c>
      <c r="J16" s="267">
        <f t="shared" si="5"/>
        <v>1271</v>
      </c>
    </row>
    <row r="17" spans="1:10" ht="15">
      <c r="A17" s="246">
        <v>2</v>
      </c>
      <c r="B17" s="247" t="s">
        <v>166</v>
      </c>
      <c r="C17" s="248">
        <v>3389</v>
      </c>
      <c r="D17" s="244">
        <v>565.58908333752152</v>
      </c>
      <c r="E17" s="244">
        <v>456.57537343914197</v>
      </c>
      <c r="F17" s="249">
        <v>438.82042455536435</v>
      </c>
      <c r="G17" s="267">
        <f t="shared" si="2"/>
        <v>3389</v>
      </c>
      <c r="H17" s="267">
        <f t="shared" si="3"/>
        <v>566</v>
      </c>
      <c r="I17" s="267">
        <f t="shared" si="4"/>
        <v>457</v>
      </c>
      <c r="J17" s="267">
        <f t="shared" si="5"/>
        <v>439</v>
      </c>
    </row>
    <row r="18" spans="1:10" ht="15">
      <c r="A18" s="246">
        <v>2</v>
      </c>
      <c r="B18" s="247" t="s">
        <v>167</v>
      </c>
      <c r="C18" s="248">
        <v>38095</v>
      </c>
      <c r="D18" s="244">
        <v>2887.4207050125206</v>
      </c>
      <c r="E18" s="244">
        <v>2741.4267801424858</v>
      </c>
      <c r="F18" s="249">
        <v>2464.0486839289538</v>
      </c>
      <c r="G18" s="267">
        <f t="shared" si="2"/>
        <v>38095</v>
      </c>
      <c r="H18" s="267">
        <f t="shared" si="3"/>
        <v>2887</v>
      </c>
      <c r="I18" s="267">
        <f t="shared" si="4"/>
        <v>2741</v>
      </c>
      <c r="J18" s="267">
        <f t="shared" si="5"/>
        <v>2464</v>
      </c>
    </row>
    <row r="19" spans="1:10" ht="15">
      <c r="A19" s="246">
        <v>2</v>
      </c>
      <c r="B19" s="247" t="s">
        <v>168</v>
      </c>
      <c r="C19" s="248">
        <v>1413</v>
      </c>
      <c r="D19" s="244">
        <v>311.38570900320713</v>
      </c>
      <c r="E19" s="244">
        <v>61.937288349160035</v>
      </c>
      <c r="F19" s="249">
        <v>165.65934065934064</v>
      </c>
      <c r="G19" s="267">
        <f t="shared" si="2"/>
        <v>1413</v>
      </c>
      <c r="H19" s="267">
        <f t="shared" si="3"/>
        <v>311</v>
      </c>
      <c r="I19" s="267">
        <f t="shared" si="4"/>
        <v>62</v>
      </c>
      <c r="J19" s="267">
        <f t="shared" si="5"/>
        <v>166</v>
      </c>
    </row>
    <row r="20" spans="1:10" ht="15">
      <c r="A20" s="246">
        <v>2</v>
      </c>
      <c r="B20" s="247" t="s">
        <v>169</v>
      </c>
      <c r="C20" s="248">
        <v>4289</v>
      </c>
      <c r="D20" s="244">
        <v>944.13194192103902</v>
      </c>
      <c r="E20" s="244">
        <v>579.03340784105217</v>
      </c>
      <c r="F20" s="249">
        <v>403.04960835509132</v>
      </c>
      <c r="G20" s="267">
        <f t="shared" si="2"/>
        <v>4289</v>
      </c>
      <c r="H20" s="267">
        <f t="shared" si="3"/>
        <v>944</v>
      </c>
      <c r="I20" s="267">
        <f t="shared" si="4"/>
        <v>579</v>
      </c>
      <c r="J20" s="267">
        <f t="shared" si="5"/>
        <v>403</v>
      </c>
    </row>
    <row r="21" spans="1:10" ht="15">
      <c r="A21" s="246">
        <v>2</v>
      </c>
      <c r="B21" s="247" t="s">
        <v>170</v>
      </c>
      <c r="C21" s="248">
        <v>5007</v>
      </c>
      <c r="D21" s="244">
        <v>859.55915258696109</v>
      </c>
      <c r="E21" s="244">
        <v>401.83635486891387</v>
      </c>
      <c r="F21" s="249">
        <v>416.82366771159877</v>
      </c>
      <c r="G21" s="267">
        <f t="shared" si="2"/>
        <v>5007</v>
      </c>
      <c r="H21" s="267">
        <f t="shared" si="3"/>
        <v>860</v>
      </c>
      <c r="I21" s="267">
        <f t="shared" si="4"/>
        <v>402</v>
      </c>
      <c r="J21" s="267">
        <f t="shared" si="5"/>
        <v>417</v>
      </c>
    </row>
    <row r="22" spans="1:10" ht="15">
      <c r="A22" s="246">
        <v>2</v>
      </c>
      <c r="B22" s="247" t="s">
        <v>171</v>
      </c>
      <c r="C22" s="248">
        <v>6519</v>
      </c>
      <c r="D22" s="244">
        <v>850.33383626750322</v>
      </c>
      <c r="E22" s="244">
        <v>309.46946392016361</v>
      </c>
      <c r="F22" s="249">
        <v>392.29374433363552</v>
      </c>
      <c r="G22" s="267">
        <f t="shared" si="2"/>
        <v>6519</v>
      </c>
      <c r="H22" s="267">
        <f t="shared" si="3"/>
        <v>850</v>
      </c>
      <c r="I22" s="267">
        <f t="shared" si="4"/>
        <v>309</v>
      </c>
      <c r="J22" s="267">
        <f t="shared" si="5"/>
        <v>392</v>
      </c>
    </row>
    <row r="23" spans="1:10" ht="15.75" thickBot="1">
      <c r="A23" s="251">
        <v>2</v>
      </c>
      <c r="B23" s="252" t="s">
        <v>172</v>
      </c>
      <c r="C23" s="253">
        <v>5849</v>
      </c>
      <c r="D23" s="254">
        <v>1082.5177955497525</v>
      </c>
      <c r="E23" s="244">
        <v>190.88517124072524</v>
      </c>
      <c r="F23" s="255">
        <v>594.81945837512535</v>
      </c>
      <c r="G23" s="267">
        <f t="shared" si="2"/>
        <v>5849</v>
      </c>
      <c r="H23" s="267">
        <f t="shared" si="3"/>
        <v>1083</v>
      </c>
      <c r="I23" s="267">
        <f t="shared" si="4"/>
        <v>191</v>
      </c>
      <c r="J23" s="267">
        <f t="shared" si="5"/>
        <v>595</v>
      </c>
    </row>
    <row r="24" spans="1:10" ht="15.75" thickBot="1">
      <c r="A24" s="259" t="s">
        <v>173</v>
      </c>
      <c r="B24" s="238"/>
      <c r="C24" s="257">
        <f>SUM(C10:C23)</f>
        <v>139488</v>
      </c>
      <c r="D24" s="257">
        <f t="shared" ref="D24:F24" si="7">SUM(D10:D23)</f>
        <v>17846.104566820544</v>
      </c>
      <c r="E24" s="257">
        <f t="shared" si="7"/>
        <v>9779.368826008882</v>
      </c>
      <c r="F24" s="258">
        <f t="shared" si="7"/>
        <v>10803.566879045198</v>
      </c>
      <c r="G24" s="267">
        <f t="shared" si="2"/>
        <v>139488</v>
      </c>
      <c r="H24" s="267">
        <f t="shared" si="3"/>
        <v>17846</v>
      </c>
      <c r="I24" s="267">
        <f t="shared" si="4"/>
        <v>9779</v>
      </c>
      <c r="J24" s="267">
        <f t="shared" si="5"/>
        <v>10804</v>
      </c>
    </row>
    <row r="25" spans="1:10" ht="15">
      <c r="A25" s="240">
        <v>3</v>
      </c>
      <c r="B25" s="241" t="s">
        <v>174</v>
      </c>
      <c r="C25" s="242">
        <v>38243</v>
      </c>
      <c r="D25" s="243">
        <v>3792.1776941453945</v>
      </c>
      <c r="E25" s="243">
        <v>2837.5410555799963</v>
      </c>
      <c r="F25" s="245">
        <v>2531.4991609910176</v>
      </c>
      <c r="G25" s="267">
        <f t="shared" si="2"/>
        <v>38243</v>
      </c>
      <c r="H25" s="267">
        <f t="shared" si="3"/>
        <v>3792</v>
      </c>
      <c r="I25" s="267">
        <f t="shared" si="4"/>
        <v>2838</v>
      </c>
      <c r="J25" s="267">
        <f t="shared" si="5"/>
        <v>2531</v>
      </c>
    </row>
    <row r="26" spans="1:10" ht="15">
      <c r="A26" s="246">
        <v>3</v>
      </c>
      <c r="B26" s="247" t="s">
        <v>175</v>
      </c>
      <c r="C26" s="248">
        <v>5687</v>
      </c>
      <c r="D26" s="244">
        <v>931.90504494071286</v>
      </c>
      <c r="E26" s="244">
        <v>358.05864821493356</v>
      </c>
      <c r="F26" s="249">
        <v>373.87323037323034</v>
      </c>
      <c r="G26" s="267">
        <f t="shared" si="2"/>
        <v>5687</v>
      </c>
      <c r="H26" s="267">
        <f t="shared" si="3"/>
        <v>932</v>
      </c>
      <c r="I26" s="267">
        <f t="shared" si="4"/>
        <v>358</v>
      </c>
      <c r="J26" s="267">
        <f t="shared" si="5"/>
        <v>374</v>
      </c>
    </row>
    <row r="27" spans="1:10" ht="15">
      <c r="A27" s="246">
        <v>3</v>
      </c>
      <c r="B27" s="247" t="s">
        <v>176</v>
      </c>
      <c r="C27" s="248">
        <v>60462</v>
      </c>
      <c r="D27" s="244">
        <v>4744.1892027303802</v>
      </c>
      <c r="E27" s="244">
        <v>830.59460721130961</v>
      </c>
      <c r="F27" s="249">
        <v>2785.1900410899652</v>
      </c>
      <c r="G27" s="267">
        <f t="shared" si="2"/>
        <v>60462</v>
      </c>
      <c r="H27" s="267">
        <f t="shared" si="3"/>
        <v>4744</v>
      </c>
      <c r="I27" s="267">
        <f t="shared" si="4"/>
        <v>831</v>
      </c>
      <c r="J27" s="267">
        <f t="shared" si="5"/>
        <v>2785</v>
      </c>
    </row>
    <row r="28" spans="1:10" ht="15">
      <c r="A28" s="246">
        <v>3</v>
      </c>
      <c r="B28" s="247" t="s">
        <v>177</v>
      </c>
      <c r="C28" s="248">
        <v>15054</v>
      </c>
      <c r="D28" s="244">
        <v>2090.8332134414404</v>
      </c>
      <c r="E28" s="244">
        <v>955.09306884923376</v>
      </c>
      <c r="F28" s="249">
        <v>1118.5326057666398</v>
      </c>
      <c r="G28" s="267">
        <f t="shared" si="2"/>
        <v>15054</v>
      </c>
      <c r="H28" s="267">
        <f t="shared" si="3"/>
        <v>2091</v>
      </c>
      <c r="I28" s="267">
        <f t="shared" si="4"/>
        <v>955</v>
      </c>
      <c r="J28" s="267">
        <f t="shared" si="5"/>
        <v>1119</v>
      </c>
    </row>
    <row r="29" spans="1:10" ht="15">
      <c r="A29" s="246">
        <v>3</v>
      </c>
      <c r="B29" s="247" t="s">
        <v>178</v>
      </c>
      <c r="C29" s="248">
        <v>4414</v>
      </c>
      <c r="D29" s="244">
        <v>757.94701216725218</v>
      </c>
      <c r="E29" s="244">
        <v>92.662817201585739</v>
      </c>
      <c r="F29" s="249">
        <v>373.61995661605209</v>
      </c>
      <c r="G29" s="267">
        <f t="shared" si="2"/>
        <v>4414</v>
      </c>
      <c r="H29" s="267">
        <f t="shared" si="3"/>
        <v>758</v>
      </c>
      <c r="I29" s="267">
        <f t="shared" si="4"/>
        <v>93</v>
      </c>
      <c r="J29" s="267">
        <f t="shared" si="5"/>
        <v>374</v>
      </c>
    </row>
    <row r="30" spans="1:10" ht="15">
      <c r="A30" s="246">
        <v>3</v>
      </c>
      <c r="B30" s="247" t="s">
        <v>179</v>
      </c>
      <c r="C30" s="248">
        <v>4043</v>
      </c>
      <c r="D30" s="244">
        <v>577.04579183343662</v>
      </c>
      <c r="E30" s="244">
        <v>32.491751545323822</v>
      </c>
      <c r="F30" s="249">
        <v>306.32054176072234</v>
      </c>
      <c r="G30" s="267">
        <f t="shared" si="2"/>
        <v>4043</v>
      </c>
      <c r="H30" s="267">
        <f t="shared" si="3"/>
        <v>577</v>
      </c>
      <c r="I30" s="267">
        <f t="shared" si="4"/>
        <v>32</v>
      </c>
      <c r="J30" s="267">
        <f t="shared" si="5"/>
        <v>306</v>
      </c>
    </row>
    <row r="31" spans="1:10" ht="15">
      <c r="A31" s="246">
        <v>3</v>
      </c>
      <c r="B31" s="247" t="s">
        <v>180</v>
      </c>
      <c r="C31" s="248">
        <v>2642</v>
      </c>
      <c r="D31" s="244">
        <v>465.79023385020736</v>
      </c>
      <c r="E31" s="244">
        <v>320.46521954901209</v>
      </c>
      <c r="F31" s="249">
        <v>150.52380952380952</v>
      </c>
      <c r="G31" s="267">
        <f t="shared" si="2"/>
        <v>2642</v>
      </c>
      <c r="H31" s="267">
        <f t="shared" si="3"/>
        <v>466</v>
      </c>
      <c r="I31" s="267">
        <f t="shared" si="4"/>
        <v>320</v>
      </c>
      <c r="J31" s="267">
        <f t="shared" si="5"/>
        <v>151</v>
      </c>
    </row>
    <row r="32" spans="1:10" ht="15">
      <c r="A32" s="246">
        <v>3</v>
      </c>
      <c r="B32" s="247" t="s">
        <v>181</v>
      </c>
      <c r="C32" s="248">
        <v>63092</v>
      </c>
      <c r="D32" s="244">
        <v>4326.00986960515</v>
      </c>
      <c r="E32" s="244">
        <v>1310.071773459149</v>
      </c>
      <c r="F32" s="249">
        <v>3354.1951219512193</v>
      </c>
      <c r="G32" s="267">
        <f t="shared" si="2"/>
        <v>63092</v>
      </c>
      <c r="H32" s="267">
        <f t="shared" si="3"/>
        <v>4326</v>
      </c>
      <c r="I32" s="267">
        <f t="shared" si="4"/>
        <v>1310</v>
      </c>
      <c r="J32" s="267">
        <f t="shared" si="5"/>
        <v>3354</v>
      </c>
    </row>
    <row r="33" spans="1:10" ht="15">
      <c r="A33" s="246">
        <v>3</v>
      </c>
      <c r="B33" s="247" t="s">
        <v>182</v>
      </c>
      <c r="C33" s="248">
        <v>1543</v>
      </c>
      <c r="D33" s="244">
        <v>269.91326988431615</v>
      </c>
      <c r="E33" s="244">
        <v>49.284603687037411</v>
      </c>
      <c r="F33" s="249">
        <v>88.929577464788721</v>
      </c>
      <c r="G33" s="267">
        <f t="shared" si="2"/>
        <v>1543</v>
      </c>
      <c r="H33" s="267">
        <f t="shared" si="3"/>
        <v>270</v>
      </c>
      <c r="I33" s="267">
        <f t="shared" si="4"/>
        <v>49</v>
      </c>
      <c r="J33" s="267">
        <f t="shared" si="5"/>
        <v>89</v>
      </c>
    </row>
    <row r="34" spans="1:10" ht="15">
      <c r="A34" s="246">
        <v>3</v>
      </c>
      <c r="B34" s="247" t="s">
        <v>183</v>
      </c>
      <c r="C34" s="248">
        <v>98447</v>
      </c>
      <c r="D34" s="244">
        <v>6610.6587984995576</v>
      </c>
      <c r="E34" s="244">
        <v>3821.2849034825122</v>
      </c>
      <c r="F34" s="249">
        <v>5119.7805396022231</v>
      </c>
      <c r="G34" s="267">
        <f t="shared" si="2"/>
        <v>98447</v>
      </c>
      <c r="H34" s="267">
        <f t="shared" si="3"/>
        <v>6611</v>
      </c>
      <c r="I34" s="267">
        <f t="shared" si="4"/>
        <v>3821</v>
      </c>
      <c r="J34" s="267">
        <f t="shared" si="5"/>
        <v>5120</v>
      </c>
    </row>
    <row r="35" spans="1:10" ht="15">
      <c r="A35" s="246">
        <v>3</v>
      </c>
      <c r="B35" s="247" t="s">
        <v>184</v>
      </c>
      <c r="C35" s="248">
        <v>11262</v>
      </c>
      <c r="D35" s="244">
        <v>1482.0514926118472</v>
      </c>
      <c r="E35" s="244">
        <v>422.33408504214663</v>
      </c>
      <c r="F35" s="249">
        <v>774.38553820870993</v>
      </c>
      <c r="G35" s="267">
        <f t="shared" si="2"/>
        <v>11262</v>
      </c>
      <c r="H35" s="267">
        <f t="shared" si="3"/>
        <v>1482</v>
      </c>
      <c r="I35" s="267">
        <f t="shared" si="4"/>
        <v>422</v>
      </c>
      <c r="J35" s="267">
        <f t="shared" si="5"/>
        <v>774</v>
      </c>
    </row>
    <row r="36" spans="1:10" ht="15">
      <c r="A36" s="246">
        <v>3</v>
      </c>
      <c r="B36" s="247" t="s">
        <v>185</v>
      </c>
      <c r="C36" s="248">
        <v>104544</v>
      </c>
      <c r="D36" s="244">
        <v>8839.7499265917213</v>
      </c>
      <c r="E36" s="244">
        <v>3643.7611473366842</v>
      </c>
      <c r="F36" s="249">
        <v>5408.0651356454664</v>
      </c>
      <c r="G36" s="267">
        <f t="shared" si="2"/>
        <v>104544</v>
      </c>
      <c r="H36" s="267">
        <f t="shared" si="3"/>
        <v>8840</v>
      </c>
      <c r="I36" s="267">
        <f t="shared" si="4"/>
        <v>3644</v>
      </c>
      <c r="J36" s="267">
        <f t="shared" si="5"/>
        <v>5408</v>
      </c>
    </row>
    <row r="37" spans="1:10" ht="15">
      <c r="A37" s="246">
        <v>3</v>
      </c>
      <c r="B37" s="247" t="s">
        <v>186</v>
      </c>
      <c r="C37" s="248">
        <v>19873</v>
      </c>
      <c r="D37" s="244">
        <v>2679.3694241833232</v>
      </c>
      <c r="E37" s="244">
        <v>1331.153592264503</v>
      </c>
      <c r="F37" s="249">
        <v>1592.5980887265946</v>
      </c>
      <c r="G37" s="267">
        <f t="shared" si="2"/>
        <v>19873</v>
      </c>
      <c r="H37" s="267">
        <f t="shared" si="3"/>
        <v>2679</v>
      </c>
      <c r="I37" s="267">
        <f t="shared" si="4"/>
        <v>1331</v>
      </c>
      <c r="J37" s="267">
        <f t="shared" si="5"/>
        <v>1593</v>
      </c>
    </row>
    <row r="38" spans="1:10" ht="15">
      <c r="A38" s="246">
        <v>3</v>
      </c>
      <c r="B38" s="247" t="s">
        <v>187</v>
      </c>
      <c r="C38" s="248">
        <v>37377</v>
      </c>
      <c r="D38" s="244">
        <v>3250.0251589728064</v>
      </c>
      <c r="E38" s="244">
        <v>1617.5144760212522</v>
      </c>
      <c r="F38" s="249">
        <v>2001.9854941069809</v>
      </c>
      <c r="G38" s="267">
        <f t="shared" si="2"/>
        <v>37377</v>
      </c>
      <c r="H38" s="267">
        <f t="shared" si="3"/>
        <v>3250</v>
      </c>
      <c r="I38" s="267">
        <f t="shared" si="4"/>
        <v>1618</v>
      </c>
      <c r="J38" s="267">
        <f t="shared" si="5"/>
        <v>2002</v>
      </c>
    </row>
    <row r="39" spans="1:10" ht="15">
      <c r="A39" s="246">
        <v>3</v>
      </c>
      <c r="B39" s="247" t="s">
        <v>188</v>
      </c>
      <c r="C39" s="248">
        <v>10993</v>
      </c>
      <c r="D39" s="244">
        <v>1474.9018575255639</v>
      </c>
      <c r="E39" s="244">
        <v>402.53659768817073</v>
      </c>
      <c r="F39" s="249">
        <v>786.03267973856202</v>
      </c>
      <c r="G39" s="267">
        <f t="shared" si="2"/>
        <v>10993</v>
      </c>
      <c r="H39" s="267">
        <f t="shared" si="3"/>
        <v>1475</v>
      </c>
      <c r="I39" s="267">
        <f t="shared" si="4"/>
        <v>403</v>
      </c>
      <c r="J39" s="267">
        <f t="shared" si="5"/>
        <v>786</v>
      </c>
    </row>
    <row r="40" spans="1:10" ht="15.75" thickBot="1">
      <c r="A40" s="251">
        <v>3</v>
      </c>
      <c r="B40" s="252" t="s">
        <v>189</v>
      </c>
      <c r="C40" s="253">
        <v>2167</v>
      </c>
      <c r="D40" s="254">
        <v>348.01532619919954</v>
      </c>
      <c r="E40" s="254">
        <v>110.8968633645687</v>
      </c>
      <c r="F40" s="255">
        <v>226.62385321100916</v>
      </c>
      <c r="G40" s="267">
        <f t="shared" si="2"/>
        <v>2167</v>
      </c>
      <c r="H40" s="267">
        <f t="shared" si="3"/>
        <v>348</v>
      </c>
      <c r="I40" s="267">
        <f t="shared" si="4"/>
        <v>111</v>
      </c>
      <c r="J40" s="267">
        <f t="shared" si="5"/>
        <v>227</v>
      </c>
    </row>
    <row r="41" spans="1:10" ht="15.75" thickBot="1">
      <c r="A41" s="259" t="s">
        <v>190</v>
      </c>
      <c r="B41" s="238"/>
      <c r="C41" s="257">
        <f>SUM(C25:C40)</f>
        <v>479843</v>
      </c>
      <c r="D41" s="257">
        <f t="shared" ref="D41:F41" si="8">SUM(D25:D40)</f>
        <v>42640.583317182311</v>
      </c>
      <c r="E41" s="257">
        <f t="shared" si="8"/>
        <v>18135.745210497415</v>
      </c>
      <c r="F41" s="258">
        <f t="shared" si="8"/>
        <v>26992.15537477699</v>
      </c>
      <c r="G41" s="267">
        <f t="shared" si="2"/>
        <v>479843</v>
      </c>
      <c r="H41" s="267">
        <f t="shared" si="3"/>
        <v>42641</v>
      </c>
      <c r="I41" s="267">
        <f t="shared" si="4"/>
        <v>18136</v>
      </c>
      <c r="J41" s="267">
        <f t="shared" si="5"/>
        <v>26992</v>
      </c>
    </row>
    <row r="42" spans="1:10" ht="15">
      <c r="A42" s="240">
        <v>4</v>
      </c>
      <c r="B42" s="241" t="s">
        <v>191</v>
      </c>
      <c r="C42" s="242">
        <v>4412</v>
      </c>
      <c r="D42" s="243">
        <v>445.1953144204748</v>
      </c>
      <c r="E42" s="243">
        <v>108.46225299148387</v>
      </c>
      <c r="F42" s="245">
        <v>303.83278327832784</v>
      </c>
      <c r="G42" s="267">
        <f t="shared" si="2"/>
        <v>4412</v>
      </c>
      <c r="H42" s="267">
        <f t="shared" si="3"/>
        <v>445</v>
      </c>
      <c r="I42" s="267">
        <f t="shared" si="4"/>
        <v>108</v>
      </c>
      <c r="J42" s="267">
        <f t="shared" si="5"/>
        <v>304</v>
      </c>
    </row>
    <row r="43" spans="1:10" ht="15">
      <c r="A43" s="246">
        <v>4</v>
      </c>
      <c r="B43" s="247" t="s">
        <v>192</v>
      </c>
      <c r="C43" s="248">
        <v>33154</v>
      </c>
      <c r="D43" s="244">
        <v>2181.4889728890048</v>
      </c>
      <c r="E43" s="244">
        <v>636.31502147653941</v>
      </c>
      <c r="F43" s="249">
        <v>1999.5142114914427</v>
      </c>
      <c r="G43" s="267">
        <f t="shared" si="2"/>
        <v>33154</v>
      </c>
      <c r="H43" s="267">
        <f t="shared" si="3"/>
        <v>2181</v>
      </c>
      <c r="I43" s="267">
        <f t="shared" si="4"/>
        <v>636</v>
      </c>
      <c r="J43" s="267">
        <f t="shared" si="5"/>
        <v>2000</v>
      </c>
    </row>
    <row r="44" spans="1:10" ht="15">
      <c r="A44" s="246">
        <v>4</v>
      </c>
      <c r="B44" s="247" t="s">
        <v>193</v>
      </c>
      <c r="C44" s="248">
        <v>152333</v>
      </c>
      <c r="D44" s="244">
        <v>16713.993308921094</v>
      </c>
      <c r="E44" s="244">
        <v>13118.230922682676</v>
      </c>
      <c r="F44" s="249">
        <v>10947.549179590631</v>
      </c>
      <c r="G44" s="267">
        <f t="shared" si="2"/>
        <v>152333</v>
      </c>
      <c r="H44" s="267">
        <f t="shared" si="3"/>
        <v>16714</v>
      </c>
      <c r="I44" s="267">
        <f t="shared" si="4"/>
        <v>13118</v>
      </c>
      <c r="J44" s="267">
        <f t="shared" si="5"/>
        <v>10948</v>
      </c>
    </row>
    <row r="45" spans="1:10" ht="15">
      <c r="A45" s="246">
        <v>4</v>
      </c>
      <c r="B45" s="247" t="s">
        <v>194</v>
      </c>
      <c r="C45" s="248">
        <v>34860</v>
      </c>
      <c r="D45" s="244">
        <v>1779.1104269908685</v>
      </c>
      <c r="E45" s="244">
        <v>1289.3049859410023</v>
      </c>
      <c r="F45" s="249">
        <v>1538.9508691279989</v>
      </c>
      <c r="G45" s="267">
        <f t="shared" si="2"/>
        <v>34860</v>
      </c>
      <c r="H45" s="267">
        <f t="shared" si="3"/>
        <v>1779</v>
      </c>
      <c r="I45" s="267">
        <f t="shared" si="4"/>
        <v>1289</v>
      </c>
      <c r="J45" s="267">
        <f t="shared" si="5"/>
        <v>1539</v>
      </c>
    </row>
    <row r="46" spans="1:10" ht="15">
      <c r="A46" s="246">
        <v>4</v>
      </c>
      <c r="B46" s="247" t="s">
        <v>195</v>
      </c>
      <c r="C46" s="248">
        <v>18139</v>
      </c>
      <c r="D46" s="244">
        <v>1595.3959822827014</v>
      </c>
      <c r="E46" s="244">
        <v>393.21483532645817</v>
      </c>
      <c r="F46" s="249">
        <v>1229.4517985611512</v>
      </c>
      <c r="G46" s="267">
        <f t="shared" si="2"/>
        <v>18139</v>
      </c>
      <c r="H46" s="267">
        <f t="shared" si="3"/>
        <v>1595</v>
      </c>
      <c r="I46" s="267">
        <f t="shared" si="4"/>
        <v>393</v>
      </c>
      <c r="J46" s="267">
        <f t="shared" si="5"/>
        <v>1229</v>
      </c>
    </row>
    <row r="47" spans="1:10" ht="15">
      <c r="A47" s="246">
        <v>4</v>
      </c>
      <c r="B47" s="247" t="s">
        <v>196</v>
      </c>
      <c r="C47" s="248">
        <v>43735</v>
      </c>
      <c r="D47" s="244">
        <v>2594.0458742105711</v>
      </c>
      <c r="E47" s="244">
        <v>1078.2472908046843</v>
      </c>
      <c r="F47" s="249">
        <v>1844.3710052910053</v>
      </c>
      <c r="G47" s="267">
        <f t="shared" si="2"/>
        <v>43735</v>
      </c>
      <c r="H47" s="267">
        <f t="shared" si="3"/>
        <v>2594</v>
      </c>
      <c r="I47" s="267">
        <f t="shared" si="4"/>
        <v>1078</v>
      </c>
      <c r="J47" s="267">
        <f t="shared" si="5"/>
        <v>1844</v>
      </c>
    </row>
    <row r="48" spans="1:10" ht="15.75" thickBot="1">
      <c r="A48" s="251">
        <v>4</v>
      </c>
      <c r="B48" s="252" t="s">
        <v>197</v>
      </c>
      <c r="C48" s="253">
        <v>145016</v>
      </c>
      <c r="D48" s="254">
        <v>10973.285934954205</v>
      </c>
      <c r="E48" s="254">
        <v>4225.6747270889009</v>
      </c>
      <c r="F48" s="255">
        <v>7754.7301533615891</v>
      </c>
      <c r="G48" s="267">
        <f t="shared" si="2"/>
        <v>145016</v>
      </c>
      <c r="H48" s="267">
        <f t="shared" si="3"/>
        <v>10973</v>
      </c>
      <c r="I48" s="267">
        <f t="shared" si="4"/>
        <v>4226</v>
      </c>
      <c r="J48" s="267">
        <f t="shared" si="5"/>
        <v>7755</v>
      </c>
    </row>
    <row r="49" spans="1:10" ht="15.75" thickBot="1">
      <c r="A49" s="259" t="s">
        <v>198</v>
      </c>
      <c r="B49" s="238"/>
      <c r="C49" s="257">
        <f>SUM(C42:C48)</f>
        <v>431649</v>
      </c>
      <c r="D49" s="257">
        <f t="shared" ref="D49:F49" si="9">SUM(D42:D48)</f>
        <v>36282.515814668921</v>
      </c>
      <c r="E49" s="257">
        <f t="shared" si="9"/>
        <v>20849.450036311748</v>
      </c>
      <c r="F49" s="258">
        <f t="shared" si="9"/>
        <v>25618.400000702146</v>
      </c>
      <c r="G49" s="267">
        <f t="shared" si="2"/>
        <v>431649</v>
      </c>
      <c r="H49" s="267">
        <f t="shared" si="3"/>
        <v>36283</v>
      </c>
      <c r="I49" s="267">
        <f t="shared" si="4"/>
        <v>20849</v>
      </c>
      <c r="J49" s="267">
        <f t="shared" si="5"/>
        <v>25618</v>
      </c>
    </row>
    <row r="50" spans="1:10" ht="15">
      <c r="A50" s="240">
        <v>5</v>
      </c>
      <c r="B50" s="241" t="s">
        <v>199</v>
      </c>
      <c r="C50" s="242">
        <v>133703</v>
      </c>
      <c r="D50" s="243">
        <v>10935.049268880124</v>
      </c>
      <c r="E50" s="243">
        <v>2178.0708835101909</v>
      </c>
      <c r="F50" s="245">
        <v>6571.0439194457431</v>
      </c>
      <c r="G50" s="267">
        <f t="shared" si="2"/>
        <v>133703</v>
      </c>
      <c r="H50" s="267">
        <f t="shared" si="3"/>
        <v>10935</v>
      </c>
      <c r="I50" s="267">
        <f t="shared" si="4"/>
        <v>2178</v>
      </c>
      <c r="J50" s="267">
        <f t="shared" si="5"/>
        <v>6571</v>
      </c>
    </row>
    <row r="51" spans="1:10" ht="15.75" thickBot="1">
      <c r="A51" s="251">
        <v>5</v>
      </c>
      <c r="B51" s="252" t="s">
        <v>200</v>
      </c>
      <c r="C51" s="253">
        <v>266182</v>
      </c>
      <c r="D51" s="254">
        <v>22541.29550929795</v>
      </c>
      <c r="E51" s="254">
        <v>6975.404797256615</v>
      </c>
      <c r="F51" s="255">
        <v>14845.066634328807</v>
      </c>
      <c r="G51" s="267">
        <f t="shared" si="2"/>
        <v>266182</v>
      </c>
      <c r="H51" s="267">
        <f t="shared" si="3"/>
        <v>22541</v>
      </c>
      <c r="I51" s="267">
        <f t="shared" si="4"/>
        <v>6975</v>
      </c>
      <c r="J51" s="267">
        <f t="shared" si="5"/>
        <v>14845</v>
      </c>
    </row>
    <row r="52" spans="1:10" ht="15.75" thickBot="1">
      <c r="A52" s="259" t="s">
        <v>201</v>
      </c>
      <c r="B52" s="238"/>
      <c r="C52" s="257">
        <f>SUM(C50:C51)</f>
        <v>399885</v>
      </c>
      <c r="D52" s="257">
        <f t="shared" ref="D52:F52" si="10">SUM(D50:D51)</f>
        <v>33476.344778178071</v>
      </c>
      <c r="E52" s="257">
        <f t="shared" si="10"/>
        <v>9153.4756807668055</v>
      </c>
      <c r="F52" s="258">
        <f t="shared" si="10"/>
        <v>21416.11055377455</v>
      </c>
      <c r="G52" s="267">
        <f t="shared" si="2"/>
        <v>399885</v>
      </c>
      <c r="H52" s="267">
        <f t="shared" si="3"/>
        <v>33476</v>
      </c>
      <c r="I52" s="267">
        <f t="shared" si="4"/>
        <v>9153</v>
      </c>
      <c r="J52" s="267">
        <f t="shared" si="5"/>
        <v>21416</v>
      </c>
    </row>
    <row r="53" spans="1:10" ht="15">
      <c r="A53" s="240">
        <v>6</v>
      </c>
      <c r="B53" s="241" t="s">
        <v>202</v>
      </c>
      <c r="C53" s="242">
        <v>4879</v>
      </c>
      <c r="D53" s="243">
        <v>811.51439203158452</v>
      </c>
      <c r="E53" s="243">
        <v>445.01048655416025</v>
      </c>
      <c r="F53" s="245">
        <v>466.00656275635765</v>
      </c>
      <c r="G53" s="267">
        <f t="shared" si="2"/>
        <v>4879</v>
      </c>
      <c r="H53" s="267">
        <f t="shared" si="3"/>
        <v>812</v>
      </c>
      <c r="I53" s="267">
        <f t="shared" si="4"/>
        <v>445</v>
      </c>
      <c r="J53" s="267">
        <f t="shared" si="5"/>
        <v>466</v>
      </c>
    </row>
    <row r="54" spans="1:10" ht="15">
      <c r="A54" s="246">
        <v>6</v>
      </c>
      <c r="B54" s="247" t="s">
        <v>203</v>
      </c>
      <c r="C54" s="248">
        <v>40047</v>
      </c>
      <c r="D54" s="244">
        <v>3325.2964247431901</v>
      </c>
      <c r="E54" s="244">
        <v>1699.9446654164817</v>
      </c>
      <c r="F54" s="249">
        <v>2154.8386890827833</v>
      </c>
      <c r="G54" s="267">
        <f t="shared" si="2"/>
        <v>40047</v>
      </c>
      <c r="H54" s="267">
        <f t="shared" si="3"/>
        <v>3325</v>
      </c>
      <c r="I54" s="267">
        <f t="shared" si="4"/>
        <v>1700</v>
      </c>
      <c r="J54" s="267">
        <f t="shared" si="5"/>
        <v>2155</v>
      </c>
    </row>
    <row r="55" spans="1:10" ht="15">
      <c r="A55" s="246">
        <v>6</v>
      </c>
      <c r="B55" s="247" t="s">
        <v>204</v>
      </c>
      <c r="C55" s="248">
        <v>211864</v>
      </c>
      <c r="D55" s="244">
        <v>20971.633854121279</v>
      </c>
      <c r="E55" s="244">
        <v>18244.250480800365</v>
      </c>
      <c r="F55" s="249">
        <v>14108.078879859509</v>
      </c>
      <c r="G55" s="267">
        <f t="shared" si="2"/>
        <v>211864</v>
      </c>
      <c r="H55" s="267">
        <f t="shared" si="3"/>
        <v>20972</v>
      </c>
      <c r="I55" s="267">
        <f t="shared" si="4"/>
        <v>18244</v>
      </c>
      <c r="J55" s="267">
        <f t="shared" si="5"/>
        <v>14108</v>
      </c>
    </row>
    <row r="56" spans="1:10" ht="15">
      <c r="A56" s="246">
        <v>6</v>
      </c>
      <c r="B56" s="247" t="s">
        <v>205</v>
      </c>
      <c r="C56" s="248">
        <v>93969</v>
      </c>
      <c r="D56" s="244">
        <v>6313.6428542592548</v>
      </c>
      <c r="E56" s="244">
        <v>2674.2362504890675</v>
      </c>
      <c r="F56" s="249">
        <v>4272.0015345348638</v>
      </c>
      <c r="G56" s="267">
        <f t="shared" si="2"/>
        <v>93969</v>
      </c>
      <c r="H56" s="267">
        <f t="shared" si="3"/>
        <v>6314</v>
      </c>
      <c r="I56" s="267">
        <f t="shared" si="4"/>
        <v>2674</v>
      </c>
      <c r="J56" s="267">
        <f t="shared" si="5"/>
        <v>4272</v>
      </c>
    </row>
    <row r="57" spans="1:10" ht="15.75" thickBot="1">
      <c r="A57" s="251">
        <v>6</v>
      </c>
      <c r="B57" s="252" t="s">
        <v>206</v>
      </c>
      <c r="C57" s="253">
        <v>143416</v>
      </c>
      <c r="D57" s="254">
        <v>12565.402455275591</v>
      </c>
      <c r="E57" s="254">
        <v>7927.4133808648958</v>
      </c>
      <c r="F57" s="255">
        <v>8773.7930211052462</v>
      </c>
      <c r="G57" s="267">
        <f t="shared" si="2"/>
        <v>143416</v>
      </c>
      <c r="H57" s="267">
        <f t="shared" si="3"/>
        <v>12565</v>
      </c>
      <c r="I57" s="267">
        <f t="shared" si="4"/>
        <v>7927</v>
      </c>
      <c r="J57" s="267">
        <f t="shared" si="5"/>
        <v>8774</v>
      </c>
    </row>
    <row r="58" spans="1:10" ht="15.75" thickBot="1">
      <c r="A58" s="259" t="s">
        <v>207</v>
      </c>
      <c r="B58" s="238"/>
      <c r="C58" s="257">
        <f>SUM(C53:C57)</f>
        <v>494175</v>
      </c>
      <c r="D58" s="257">
        <f t="shared" ref="D58:F58" si="11">SUM(D53:D57)</f>
        <v>43987.489980430895</v>
      </c>
      <c r="E58" s="257">
        <f t="shared" si="11"/>
        <v>30990.85526412497</v>
      </c>
      <c r="F58" s="258">
        <f t="shared" si="11"/>
        <v>29774.718687338762</v>
      </c>
      <c r="G58" s="267">
        <f t="shared" si="2"/>
        <v>494175</v>
      </c>
      <c r="H58" s="267">
        <f t="shared" si="3"/>
        <v>43987</v>
      </c>
      <c r="I58" s="267">
        <f t="shared" si="4"/>
        <v>30991</v>
      </c>
      <c r="J58" s="267">
        <f t="shared" si="5"/>
        <v>29775</v>
      </c>
    </row>
    <row r="59" spans="1:10" ht="15">
      <c r="A59" s="240">
        <v>7</v>
      </c>
      <c r="B59" s="241" t="s">
        <v>208</v>
      </c>
      <c r="C59" s="242">
        <v>156313</v>
      </c>
      <c r="D59" s="243">
        <v>10715.600596360711</v>
      </c>
      <c r="E59" s="243">
        <v>5314.6368635614481</v>
      </c>
      <c r="F59" s="245">
        <v>8072.0247990515445</v>
      </c>
      <c r="G59" s="267">
        <f t="shared" si="2"/>
        <v>156313</v>
      </c>
      <c r="H59" s="267">
        <f t="shared" si="3"/>
        <v>10716</v>
      </c>
      <c r="I59" s="267">
        <f t="shared" si="4"/>
        <v>5315</v>
      </c>
      <c r="J59" s="267">
        <f t="shared" si="5"/>
        <v>8072</v>
      </c>
    </row>
    <row r="60" spans="1:10" ht="15">
      <c r="A60" s="246">
        <v>7</v>
      </c>
      <c r="B60" s="247" t="s">
        <v>209</v>
      </c>
      <c r="C60" s="248">
        <v>155123</v>
      </c>
      <c r="D60" s="244">
        <v>13889.231488868198</v>
      </c>
      <c r="E60" s="244">
        <v>17840.665255036482</v>
      </c>
      <c r="F60" s="249">
        <v>10246.890610010061</v>
      </c>
      <c r="G60" s="267">
        <f t="shared" si="2"/>
        <v>155123</v>
      </c>
      <c r="H60" s="267">
        <f t="shared" si="3"/>
        <v>13889</v>
      </c>
      <c r="I60" s="267">
        <f t="shared" si="4"/>
        <v>17841</v>
      </c>
      <c r="J60" s="267">
        <f t="shared" si="5"/>
        <v>10247</v>
      </c>
    </row>
    <row r="61" spans="1:10" ht="15">
      <c r="A61" s="246">
        <v>7</v>
      </c>
      <c r="B61" s="247" t="s">
        <v>210</v>
      </c>
      <c r="C61" s="248">
        <v>43268</v>
      </c>
      <c r="D61" s="244">
        <v>3938.402824929587</v>
      </c>
      <c r="E61" s="244">
        <v>6821.1328286943244</v>
      </c>
      <c r="F61" s="249">
        <v>2045.5951302679953</v>
      </c>
      <c r="G61" s="267">
        <f t="shared" si="2"/>
        <v>43268</v>
      </c>
      <c r="H61" s="267">
        <f t="shared" si="3"/>
        <v>3938</v>
      </c>
      <c r="I61" s="267">
        <f t="shared" si="4"/>
        <v>6821</v>
      </c>
      <c r="J61" s="267">
        <f t="shared" si="5"/>
        <v>2046</v>
      </c>
    </row>
    <row r="62" spans="1:10" ht="15.75" thickBot="1">
      <c r="A62" s="251">
        <v>7</v>
      </c>
      <c r="B62" s="252" t="s">
        <v>211</v>
      </c>
      <c r="C62" s="253">
        <v>72167</v>
      </c>
      <c r="D62" s="254">
        <v>4805.6144531682257</v>
      </c>
      <c r="E62" s="254">
        <v>4696.7223133109228</v>
      </c>
      <c r="F62" s="255">
        <v>4369.3874330196477</v>
      </c>
      <c r="G62" s="267">
        <f t="shared" si="2"/>
        <v>72167</v>
      </c>
      <c r="H62" s="267">
        <f t="shared" si="3"/>
        <v>4806</v>
      </c>
      <c r="I62" s="267">
        <f t="shared" si="4"/>
        <v>4697</v>
      </c>
      <c r="J62" s="267">
        <f t="shared" si="5"/>
        <v>4369</v>
      </c>
    </row>
    <row r="63" spans="1:10" ht="15.75" thickBot="1">
      <c r="A63" s="259" t="s">
        <v>212</v>
      </c>
      <c r="B63" s="238"/>
      <c r="C63" s="257">
        <f>SUM(C59:C62)</f>
        <v>426871</v>
      </c>
      <c r="D63" s="257">
        <f t="shared" ref="D63:F63" si="12">SUM(D59:D62)</f>
        <v>33348.849363326721</v>
      </c>
      <c r="E63" s="257">
        <f t="shared" si="12"/>
        <v>34673.157260603177</v>
      </c>
      <c r="F63" s="258">
        <f t="shared" si="12"/>
        <v>24733.897972349252</v>
      </c>
      <c r="G63" s="267">
        <f t="shared" si="2"/>
        <v>426871</v>
      </c>
      <c r="H63" s="267">
        <f t="shared" si="3"/>
        <v>33349</v>
      </c>
      <c r="I63" s="267">
        <f t="shared" si="4"/>
        <v>34673</v>
      </c>
      <c r="J63" s="267">
        <f t="shared" si="5"/>
        <v>24734</v>
      </c>
    </row>
    <row r="64" spans="1:10" ht="15">
      <c r="A64" s="240">
        <v>8</v>
      </c>
      <c r="B64" s="241" t="s">
        <v>213</v>
      </c>
      <c r="C64" s="242">
        <v>70972</v>
      </c>
      <c r="D64" s="243">
        <v>3943.4078260700353</v>
      </c>
      <c r="E64" s="243">
        <v>1253.4229260288082</v>
      </c>
      <c r="F64" s="245">
        <v>3737.2153175877093</v>
      </c>
      <c r="G64" s="267">
        <f t="shared" si="2"/>
        <v>70972</v>
      </c>
      <c r="H64" s="267">
        <f t="shared" si="3"/>
        <v>3943</v>
      </c>
      <c r="I64" s="267">
        <f t="shared" si="4"/>
        <v>1253</v>
      </c>
      <c r="J64" s="267">
        <f t="shared" si="5"/>
        <v>3737</v>
      </c>
    </row>
    <row r="65" spans="1:10" ht="15">
      <c r="A65" s="246">
        <v>8</v>
      </c>
      <c r="B65" s="247" t="s">
        <v>214</v>
      </c>
      <c r="C65" s="248">
        <v>104092</v>
      </c>
      <c r="D65" s="244">
        <v>5307.6155503370146</v>
      </c>
      <c r="E65" s="244">
        <v>2687.5012027963253</v>
      </c>
      <c r="F65" s="249">
        <v>3218.3390873611529</v>
      </c>
      <c r="G65" s="267">
        <f t="shared" si="2"/>
        <v>104092</v>
      </c>
      <c r="H65" s="267">
        <f t="shared" si="3"/>
        <v>5308</v>
      </c>
      <c r="I65" s="267">
        <f t="shared" si="4"/>
        <v>2688</v>
      </c>
      <c r="J65" s="267">
        <f t="shared" si="5"/>
        <v>3218</v>
      </c>
    </row>
    <row r="66" spans="1:10" ht="15">
      <c r="A66" s="246">
        <v>8</v>
      </c>
      <c r="B66" s="247" t="s">
        <v>215</v>
      </c>
      <c r="C66" s="248">
        <v>8839</v>
      </c>
      <c r="D66" s="244">
        <v>718.31953281905521</v>
      </c>
      <c r="E66" s="244">
        <v>323.29827836342156</v>
      </c>
      <c r="F66" s="249">
        <v>453.57497517378351</v>
      </c>
      <c r="G66" s="267">
        <f t="shared" si="2"/>
        <v>8839</v>
      </c>
      <c r="H66" s="267">
        <f t="shared" si="3"/>
        <v>718</v>
      </c>
      <c r="I66" s="267">
        <f t="shared" si="4"/>
        <v>323</v>
      </c>
      <c r="J66" s="267">
        <f t="shared" si="5"/>
        <v>454</v>
      </c>
    </row>
    <row r="67" spans="1:10" ht="15">
      <c r="A67" s="246">
        <v>8</v>
      </c>
      <c r="B67" s="247" t="s">
        <v>216</v>
      </c>
      <c r="C67" s="248">
        <v>2936</v>
      </c>
      <c r="D67" s="244">
        <v>339.06473239869217</v>
      </c>
      <c r="E67" s="244">
        <v>99.891414483982061</v>
      </c>
      <c r="F67" s="249">
        <v>194.58271604938273</v>
      </c>
      <c r="G67" s="267">
        <f t="shared" si="2"/>
        <v>2936</v>
      </c>
      <c r="H67" s="267">
        <f t="shared" si="3"/>
        <v>339</v>
      </c>
      <c r="I67" s="267">
        <f t="shared" si="4"/>
        <v>100</v>
      </c>
      <c r="J67" s="267">
        <f t="shared" si="5"/>
        <v>195</v>
      </c>
    </row>
    <row r="68" spans="1:10" ht="15">
      <c r="A68" s="246">
        <v>8</v>
      </c>
      <c r="B68" s="247" t="s">
        <v>217</v>
      </c>
      <c r="C68" s="248">
        <v>6066</v>
      </c>
      <c r="D68" s="244">
        <v>874.6922388654325</v>
      </c>
      <c r="E68" s="244">
        <v>735.47300203050236</v>
      </c>
      <c r="F68" s="249">
        <v>403.17766497461929</v>
      </c>
      <c r="G68" s="267">
        <f t="shared" si="2"/>
        <v>6066</v>
      </c>
      <c r="H68" s="267">
        <f t="shared" si="3"/>
        <v>875</v>
      </c>
      <c r="I68" s="267">
        <f t="shared" si="4"/>
        <v>735</v>
      </c>
      <c r="J68" s="267">
        <f t="shared" si="5"/>
        <v>403</v>
      </c>
    </row>
    <row r="69" spans="1:10" ht="15">
      <c r="A69" s="246">
        <v>8</v>
      </c>
      <c r="B69" s="247" t="s">
        <v>218</v>
      </c>
      <c r="C69" s="248">
        <v>195617</v>
      </c>
      <c r="D69" s="244">
        <v>12261.079904585993</v>
      </c>
      <c r="E69" s="244">
        <v>7014.171972723575</v>
      </c>
      <c r="F69" s="249">
        <v>8443.6078508431201</v>
      </c>
      <c r="G69" s="267">
        <f t="shared" si="2"/>
        <v>195617</v>
      </c>
      <c r="H69" s="267">
        <f t="shared" si="3"/>
        <v>12261</v>
      </c>
      <c r="I69" s="267">
        <f t="shared" si="4"/>
        <v>7014</v>
      </c>
      <c r="J69" s="267">
        <f t="shared" si="5"/>
        <v>8444</v>
      </c>
    </row>
    <row r="70" spans="1:10" ht="15.75" thickBot="1">
      <c r="A70" s="251">
        <v>8</v>
      </c>
      <c r="B70" s="252" t="s">
        <v>219</v>
      </c>
      <c r="C70" s="253">
        <v>158453</v>
      </c>
      <c r="D70" s="254">
        <v>7814.4858175268364</v>
      </c>
      <c r="E70" s="254">
        <v>1663.0402583687248</v>
      </c>
      <c r="F70" s="255">
        <v>7314.5264833838692</v>
      </c>
      <c r="G70" s="267">
        <f t="shared" ref="G70:G82" si="13">ROUND(C70,0)</f>
        <v>158453</v>
      </c>
      <c r="H70" s="267">
        <f t="shared" ref="H70:H82" si="14">ROUND(D70,0)</f>
        <v>7814</v>
      </c>
      <c r="I70" s="267">
        <f t="shared" ref="I70:I82" si="15">ROUND(E70,0)</f>
        <v>1663</v>
      </c>
      <c r="J70" s="267">
        <f t="shared" ref="J70:J82" si="16">ROUND(F70,0)</f>
        <v>7315</v>
      </c>
    </row>
    <row r="71" spans="1:10" ht="15.75" thickBot="1">
      <c r="A71" s="259" t="s">
        <v>220</v>
      </c>
      <c r="B71" s="238"/>
      <c r="C71" s="257">
        <f>SUM(C64:C70)</f>
        <v>546975</v>
      </c>
      <c r="D71" s="257">
        <f t="shared" ref="D71:F71" si="17">SUM(D64:D70)</f>
        <v>31258.665602603061</v>
      </c>
      <c r="E71" s="257">
        <f t="shared" si="17"/>
        <v>13776.799054795338</v>
      </c>
      <c r="F71" s="258">
        <f t="shared" si="17"/>
        <v>23765.024095373639</v>
      </c>
      <c r="G71" s="267">
        <f t="shared" si="13"/>
        <v>546975</v>
      </c>
      <c r="H71" s="267">
        <f t="shared" si="14"/>
        <v>31259</v>
      </c>
      <c r="I71" s="267">
        <f t="shared" si="15"/>
        <v>13777</v>
      </c>
      <c r="J71" s="267">
        <f t="shared" si="16"/>
        <v>23765</v>
      </c>
    </row>
    <row r="72" spans="1:10" ht="15">
      <c r="A72" s="240">
        <v>9</v>
      </c>
      <c r="B72" s="241" t="s">
        <v>221</v>
      </c>
      <c r="C72" s="242">
        <v>50053</v>
      </c>
      <c r="D72" s="243">
        <v>3176.1039501947143</v>
      </c>
      <c r="E72" s="243">
        <v>1267.0411413109784</v>
      </c>
      <c r="F72" s="245">
        <v>2133.0319067105629</v>
      </c>
      <c r="G72" s="267">
        <f t="shared" si="13"/>
        <v>50053</v>
      </c>
      <c r="H72" s="267">
        <f t="shared" si="14"/>
        <v>3176</v>
      </c>
      <c r="I72" s="267">
        <f t="shared" si="15"/>
        <v>1267</v>
      </c>
      <c r="J72" s="267">
        <f t="shared" si="16"/>
        <v>2133</v>
      </c>
    </row>
    <row r="73" spans="1:10" ht="15">
      <c r="A73" s="246">
        <v>9</v>
      </c>
      <c r="B73" s="247" t="s">
        <v>222</v>
      </c>
      <c r="C73" s="248">
        <v>52464</v>
      </c>
      <c r="D73" s="244">
        <v>2837.0935558981355</v>
      </c>
      <c r="E73" s="244">
        <v>809.50152206894461</v>
      </c>
      <c r="F73" s="249">
        <v>1837.9388984509467</v>
      </c>
      <c r="G73" s="267">
        <f t="shared" si="13"/>
        <v>52464</v>
      </c>
      <c r="H73" s="267">
        <f t="shared" si="14"/>
        <v>2837</v>
      </c>
      <c r="I73" s="267">
        <f t="shared" si="15"/>
        <v>810</v>
      </c>
      <c r="J73" s="267">
        <f t="shared" si="16"/>
        <v>1838</v>
      </c>
    </row>
    <row r="74" spans="1:10" ht="15">
      <c r="A74" s="246">
        <v>9</v>
      </c>
      <c r="B74" s="247" t="s">
        <v>223</v>
      </c>
      <c r="C74" s="248">
        <v>9091</v>
      </c>
      <c r="D74" s="244">
        <v>1006.2971142982085</v>
      </c>
      <c r="E74" s="244">
        <v>307.19381346872467</v>
      </c>
      <c r="F74" s="249">
        <v>500.91994382022472</v>
      </c>
      <c r="G74" s="267">
        <f t="shared" si="13"/>
        <v>9091</v>
      </c>
      <c r="H74" s="267">
        <f t="shared" si="14"/>
        <v>1006</v>
      </c>
      <c r="I74" s="267">
        <f t="shared" si="15"/>
        <v>307</v>
      </c>
      <c r="J74" s="267">
        <f t="shared" si="16"/>
        <v>501</v>
      </c>
    </row>
    <row r="75" spans="1:10" ht="15">
      <c r="A75" s="246">
        <v>9</v>
      </c>
      <c r="B75" s="247" t="s">
        <v>224</v>
      </c>
      <c r="C75" s="248">
        <v>357634</v>
      </c>
      <c r="D75" s="244">
        <v>24856.36733095083</v>
      </c>
      <c r="E75" s="244">
        <v>15334.736455750628</v>
      </c>
      <c r="F75" s="249">
        <v>18674.604117020739</v>
      </c>
      <c r="G75" s="267">
        <f t="shared" si="13"/>
        <v>357634</v>
      </c>
      <c r="H75" s="267">
        <f t="shared" si="14"/>
        <v>24856</v>
      </c>
      <c r="I75" s="267">
        <f t="shared" si="15"/>
        <v>15335</v>
      </c>
      <c r="J75" s="267">
        <f t="shared" si="16"/>
        <v>18675</v>
      </c>
    </row>
    <row r="76" spans="1:10" ht="15.75" thickBot="1">
      <c r="A76" s="251">
        <v>9</v>
      </c>
      <c r="B76" s="252" t="s">
        <v>225</v>
      </c>
      <c r="C76" s="253">
        <v>79111</v>
      </c>
      <c r="D76" s="254">
        <v>6706.9814039484045</v>
      </c>
      <c r="E76" s="254">
        <v>5786.9865550180821</v>
      </c>
      <c r="F76" s="255">
        <v>3769.252824036334</v>
      </c>
      <c r="G76" s="267">
        <f t="shared" si="13"/>
        <v>79111</v>
      </c>
      <c r="H76" s="267">
        <f t="shared" si="14"/>
        <v>6707</v>
      </c>
      <c r="I76" s="267">
        <f t="shared" si="15"/>
        <v>5787</v>
      </c>
      <c r="J76" s="267">
        <f t="shared" si="16"/>
        <v>3769</v>
      </c>
    </row>
    <row r="77" spans="1:10" ht="15.75" thickBot="1">
      <c r="A77" s="259" t="s">
        <v>226</v>
      </c>
      <c r="B77" s="238"/>
      <c r="C77" s="257">
        <f>SUM(C72:C76)</f>
        <v>548353</v>
      </c>
      <c r="D77" s="257">
        <f t="shared" ref="D77:F77" si="18">SUM(D72:D76)</f>
        <v>38582.843355290293</v>
      </c>
      <c r="E77" s="257">
        <f t="shared" si="18"/>
        <v>23505.459487617358</v>
      </c>
      <c r="F77" s="258">
        <f t="shared" si="18"/>
        <v>26915.74769003881</v>
      </c>
      <c r="G77" s="267">
        <f t="shared" si="13"/>
        <v>548353</v>
      </c>
      <c r="H77" s="267">
        <f t="shared" si="14"/>
        <v>38583</v>
      </c>
      <c r="I77" s="267">
        <f t="shared" si="15"/>
        <v>23505</v>
      </c>
      <c r="J77" s="267">
        <f t="shared" si="16"/>
        <v>26916</v>
      </c>
    </row>
    <row r="78" spans="1:10" ht="15.75" thickBot="1">
      <c r="A78" s="260">
        <v>10</v>
      </c>
      <c r="B78" s="261" t="s">
        <v>227</v>
      </c>
      <c r="C78" s="262">
        <v>345063</v>
      </c>
      <c r="D78" s="263">
        <v>34992.795577054349</v>
      </c>
      <c r="E78" s="263">
        <v>26664.685328355699</v>
      </c>
      <c r="F78" s="264">
        <v>22433.132602123049</v>
      </c>
      <c r="G78" s="267">
        <f t="shared" si="13"/>
        <v>345063</v>
      </c>
      <c r="H78" s="267">
        <f t="shared" si="14"/>
        <v>34993</v>
      </c>
      <c r="I78" s="267">
        <f t="shared" si="15"/>
        <v>26665</v>
      </c>
      <c r="J78" s="267">
        <f t="shared" si="16"/>
        <v>22433</v>
      </c>
    </row>
    <row r="79" spans="1:10" ht="15.75" thickBot="1">
      <c r="A79" s="259" t="s">
        <v>228</v>
      </c>
      <c r="B79" s="238"/>
      <c r="C79" s="257">
        <f>C78</f>
        <v>345063</v>
      </c>
      <c r="D79" s="257">
        <f t="shared" ref="D79:F79" si="19">D78</f>
        <v>34992.795577054349</v>
      </c>
      <c r="E79" s="257">
        <f t="shared" si="19"/>
        <v>26664.685328355699</v>
      </c>
      <c r="F79" s="258">
        <f t="shared" si="19"/>
        <v>22433.132602123049</v>
      </c>
      <c r="G79" s="267">
        <f t="shared" si="13"/>
        <v>345063</v>
      </c>
      <c r="H79" s="267">
        <f t="shared" si="14"/>
        <v>34993</v>
      </c>
      <c r="I79" s="267">
        <f t="shared" si="15"/>
        <v>26665</v>
      </c>
      <c r="J79" s="267">
        <f t="shared" si="16"/>
        <v>22433</v>
      </c>
    </row>
    <row r="80" spans="1:10" ht="15">
      <c r="A80" s="240">
        <v>11</v>
      </c>
      <c r="B80" s="241" t="s">
        <v>229</v>
      </c>
      <c r="C80" s="242">
        <v>476377</v>
      </c>
      <c r="D80" s="243">
        <v>84761.169836148736</v>
      </c>
      <c r="E80" s="243">
        <v>111619.97776147981</v>
      </c>
      <c r="F80" s="245">
        <v>38468.964751944775</v>
      </c>
      <c r="G80" s="267">
        <f t="shared" si="13"/>
        <v>476377</v>
      </c>
      <c r="H80" s="267">
        <f t="shared" si="14"/>
        <v>84761</v>
      </c>
      <c r="I80" s="267">
        <f t="shared" si="15"/>
        <v>111620</v>
      </c>
      <c r="J80" s="267">
        <f t="shared" si="16"/>
        <v>38469</v>
      </c>
    </row>
    <row r="81" spans="1:10" ht="15.75" thickBot="1">
      <c r="A81" s="251">
        <v>11</v>
      </c>
      <c r="B81" s="252" t="s">
        <v>230</v>
      </c>
      <c r="C81" s="253">
        <v>19792</v>
      </c>
      <c r="D81" s="254">
        <v>1825.5551470077846</v>
      </c>
      <c r="E81" s="254">
        <v>610.60131613947681</v>
      </c>
      <c r="F81" s="255">
        <v>712.81199681500482</v>
      </c>
      <c r="G81" s="267">
        <f t="shared" si="13"/>
        <v>19792</v>
      </c>
      <c r="H81" s="267">
        <f t="shared" si="14"/>
        <v>1826</v>
      </c>
      <c r="I81" s="267">
        <f t="shared" si="15"/>
        <v>611</v>
      </c>
      <c r="J81" s="267">
        <f t="shared" si="16"/>
        <v>713</v>
      </c>
    </row>
    <row r="82" spans="1:10" ht="15.75" thickBot="1">
      <c r="A82" s="259" t="s">
        <v>231</v>
      </c>
      <c r="B82" s="238"/>
      <c r="C82" s="265">
        <f>SUM(C80:C81)</f>
        <v>496169</v>
      </c>
      <c r="D82" s="265">
        <f t="shared" ref="D82:F82" si="20">SUM(D80:D81)</f>
        <v>86586.724983156528</v>
      </c>
      <c r="E82" s="265">
        <f t="shared" si="20"/>
        <v>112230.57907761929</v>
      </c>
      <c r="F82" s="266">
        <f t="shared" si="20"/>
        <v>39181.776748759781</v>
      </c>
      <c r="G82" s="267">
        <f t="shared" si="13"/>
        <v>496169</v>
      </c>
      <c r="H82" s="267">
        <f t="shared" si="14"/>
        <v>86587</v>
      </c>
      <c r="I82" s="267">
        <f t="shared" si="15"/>
        <v>112231</v>
      </c>
      <c r="J82" s="267">
        <f t="shared" si="16"/>
        <v>39182</v>
      </c>
    </row>
  </sheetData>
  <mergeCells count="3">
    <mergeCell ref="A1:F1"/>
    <mergeCell ref="A2:F2"/>
    <mergeCell ref="G2:J2"/>
  </mergeCells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oaa 2010</vt:lpstr>
      <vt:lpstr>2010 Svcs and Adm Alloca  updat</vt:lpstr>
      <vt:lpstr>2010 allot with carry forwards</vt:lpstr>
      <vt:lpstr>2010 Admin Formula </vt:lpstr>
      <vt:lpstr>2010 Svcs Formula</vt:lpstr>
      <vt:lpstr>IIID Prevention </vt:lpstr>
      <vt:lpstr>OAA updated</vt:lpstr>
      <vt:lpstr>2010</vt:lpstr>
      <vt:lpstr>Sheet1</vt:lpstr>
      <vt:lpstr>'2010 Admin Formula '!Print_Area</vt:lpstr>
      <vt:lpstr>'2010 allot with carry forwards'!Print_Area</vt:lpstr>
      <vt:lpstr>'2010 Svcs and Adm Alloca  updat'!Print_Area</vt:lpstr>
      <vt:lpstr>'2010 Svcs Formula'!Print_Area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hodgesm</cp:lastModifiedBy>
  <cp:lastPrinted>2010-07-15T16:34:15Z</cp:lastPrinted>
  <dcterms:created xsi:type="dcterms:W3CDTF">2003-01-21T20:44:35Z</dcterms:created>
  <dcterms:modified xsi:type="dcterms:W3CDTF">2010-07-15T16:38:02Z</dcterms:modified>
</cp:coreProperties>
</file>